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методология" sheetId="9" r:id="rId1"/>
    <sheet name="условия_и_расчеты" sheetId="1" r:id="rId2"/>
    <sheet name="PL" sheetId="2" r:id="rId3"/>
    <sheet name="CF" sheetId="3" r:id="rId4"/>
    <sheet name="BS" sheetId="4" r:id="rId5"/>
    <sheet name="KPI" sheetId="7" r:id="rId6"/>
    <sheet name="структура" sheetId="8" r:id="rId7"/>
  </sheets>
  <calcPr calcId="162913"/>
</workbook>
</file>

<file path=xl/calcChain.xml><?xml version="1.0" encoding="utf-8"?>
<calcChain xmlns="http://schemas.openxmlformats.org/spreadsheetml/2006/main">
  <c r="D6" i="9" l="1"/>
  <c r="D5" i="9"/>
  <c r="E9" i="4" l="1"/>
  <c r="E19" i="4"/>
  <c r="E18" i="4"/>
  <c r="E17" i="4"/>
  <c r="E15" i="4"/>
  <c r="E14" i="4"/>
  <c r="E13" i="4"/>
  <c r="E12" i="4"/>
  <c r="E11" i="4"/>
  <c r="J6" i="4"/>
  <c r="J7" i="4" s="1"/>
  <c r="K6" i="4" s="1"/>
  <c r="K7" i="4" s="1"/>
  <c r="L6" i="4" s="1"/>
  <c r="L7" i="4" s="1"/>
  <c r="M6" i="4" s="1"/>
  <c r="M7" i="4" s="1"/>
  <c r="N6" i="4" s="1"/>
  <c r="N7" i="4" s="1"/>
  <c r="O6" i="4" s="1"/>
  <c r="O7" i="4" s="1"/>
  <c r="P6" i="4" s="1"/>
  <c r="P7" i="4" s="1"/>
  <c r="Q6" i="4" s="1"/>
  <c r="Q7" i="4" s="1"/>
  <c r="R6" i="4" s="1"/>
  <c r="R7" i="4" s="1"/>
  <c r="S6" i="4" s="1"/>
  <c r="S7" i="4" s="1"/>
  <c r="T6" i="4" s="1"/>
  <c r="T7" i="4" s="1"/>
  <c r="U6" i="4" s="1"/>
  <c r="U7" i="4" s="1"/>
  <c r="V6" i="4" s="1"/>
  <c r="V7" i="4" s="1"/>
  <c r="W6" i="4" s="1"/>
  <c r="W7" i="4" s="1"/>
  <c r="X6" i="4" s="1"/>
  <c r="X7" i="4" s="1"/>
  <c r="Y6" i="4" s="1"/>
  <c r="Y7" i="4" s="1"/>
  <c r="Z6" i="4" s="1"/>
  <c r="Z7" i="4" s="1"/>
  <c r="AA6" i="4" s="1"/>
  <c r="AA7" i="4" s="1"/>
  <c r="AB6" i="4" s="1"/>
  <c r="AB7" i="4" s="1"/>
  <c r="AC6" i="4" s="1"/>
  <c r="AC7" i="4" s="1"/>
  <c r="AD6" i="4" s="1"/>
  <c r="AD7" i="4" s="1"/>
  <c r="AE6" i="4" s="1"/>
  <c r="AE7" i="4" s="1"/>
  <c r="AF6" i="4" s="1"/>
  <c r="AF7" i="4" s="1"/>
  <c r="AG6" i="4" s="1"/>
  <c r="AG7" i="4" s="1"/>
  <c r="AH6" i="4" s="1"/>
  <c r="AH7" i="4" s="1"/>
  <c r="K1" i="4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E13" i="3"/>
  <c r="E12" i="3"/>
  <c r="E11" i="3"/>
  <c r="E32" i="3"/>
  <c r="E31" i="3"/>
  <c r="E30" i="3"/>
  <c r="E29" i="3"/>
  <c r="E25" i="3"/>
  <c r="E24" i="3"/>
  <c r="E23" i="3"/>
  <c r="E22" i="3"/>
  <c r="E21" i="3"/>
  <c r="E20" i="3"/>
  <c r="F171" i="1"/>
  <c r="H171" i="1" s="1"/>
  <c r="E19" i="3"/>
  <c r="E27" i="3"/>
  <c r="E17" i="3"/>
  <c r="E18" i="3"/>
  <c r="E15" i="3"/>
  <c r="E9" i="3"/>
  <c r="E10" i="3"/>
  <c r="E28" i="3"/>
  <c r="J6" i="3"/>
  <c r="J7" i="3" s="1"/>
  <c r="K6" i="3" s="1"/>
  <c r="K7" i="3" s="1"/>
  <c r="L6" i="3" s="1"/>
  <c r="L7" i="3" s="1"/>
  <c r="M6" i="3" s="1"/>
  <c r="M7" i="3" s="1"/>
  <c r="N6" i="3" s="1"/>
  <c r="N7" i="3" s="1"/>
  <c r="O6" i="3" s="1"/>
  <c r="O7" i="3" s="1"/>
  <c r="P6" i="3" s="1"/>
  <c r="P7" i="3" s="1"/>
  <c r="Q6" i="3" s="1"/>
  <c r="Q7" i="3" s="1"/>
  <c r="R6" i="3" s="1"/>
  <c r="R7" i="3" s="1"/>
  <c r="S6" i="3" s="1"/>
  <c r="S7" i="3" s="1"/>
  <c r="T6" i="3" s="1"/>
  <c r="T7" i="3" s="1"/>
  <c r="U6" i="3" s="1"/>
  <c r="U7" i="3" s="1"/>
  <c r="V6" i="3" s="1"/>
  <c r="V7" i="3" s="1"/>
  <c r="W6" i="3" s="1"/>
  <c r="W7" i="3" s="1"/>
  <c r="X6" i="3" s="1"/>
  <c r="X7" i="3" s="1"/>
  <c r="Y6" i="3" s="1"/>
  <c r="Y7" i="3" s="1"/>
  <c r="Z6" i="3" s="1"/>
  <c r="Z7" i="3" s="1"/>
  <c r="AA6" i="3" s="1"/>
  <c r="AA7" i="3" s="1"/>
  <c r="AB6" i="3" s="1"/>
  <c r="AB7" i="3" s="1"/>
  <c r="AC6" i="3" s="1"/>
  <c r="AC7" i="3" s="1"/>
  <c r="AD6" i="3" s="1"/>
  <c r="AD7" i="3" s="1"/>
  <c r="AE6" i="3" s="1"/>
  <c r="AE7" i="3" s="1"/>
  <c r="AF6" i="3" s="1"/>
  <c r="AF7" i="3" s="1"/>
  <c r="AG6" i="3" s="1"/>
  <c r="AG7" i="3" s="1"/>
  <c r="AH6" i="3" s="1"/>
  <c r="AH7" i="3" s="1"/>
  <c r="K1" i="3"/>
  <c r="F369" i="1"/>
  <c r="H369" i="1" s="1"/>
  <c r="D98" i="7"/>
  <c r="D99" i="7"/>
  <c r="D100" i="7"/>
  <c r="D101" i="7"/>
  <c r="E35" i="2"/>
  <c r="E33" i="2"/>
  <c r="E32" i="2"/>
  <c r="E31" i="2"/>
  <c r="E30" i="2"/>
  <c r="E28" i="2"/>
  <c r="E29" i="2"/>
  <c r="E26" i="2"/>
  <c r="E24" i="2"/>
  <c r="E23" i="2"/>
  <c r="E22" i="2"/>
  <c r="E21" i="2"/>
  <c r="E20" i="2"/>
  <c r="E19" i="2"/>
  <c r="F156" i="1"/>
  <c r="E18" i="2"/>
  <c r="E17" i="2"/>
  <c r="E16" i="2"/>
  <c r="E14" i="2"/>
  <c r="E12" i="2"/>
  <c r="E10" i="2"/>
  <c r="J6" i="2"/>
  <c r="J7" i="2" s="1"/>
  <c r="K6" i="2" s="1"/>
  <c r="K7" i="2" s="1"/>
  <c r="K1" i="2"/>
  <c r="L1" i="2" s="1"/>
  <c r="F367" i="1"/>
  <c r="F365" i="1"/>
  <c r="F363" i="1"/>
  <c r="F361" i="1"/>
  <c r="H361" i="1" s="1"/>
  <c r="D367" i="1"/>
  <c r="H365" i="1"/>
  <c r="AK363" i="1"/>
  <c r="D363" i="1"/>
  <c r="F359" i="1"/>
  <c r="F357" i="1"/>
  <c r="F355" i="1"/>
  <c r="F353" i="1"/>
  <c r="H353" i="1" s="1"/>
  <c r="D95" i="7"/>
  <c r="D96" i="7"/>
  <c r="D97" i="7"/>
  <c r="D359" i="1"/>
  <c r="AK355" i="1"/>
  <c r="D355" i="1"/>
  <c r="F351" i="1"/>
  <c r="H351" i="1" s="1"/>
  <c r="F349" i="1"/>
  <c r="H349" i="1" s="1"/>
  <c r="F347" i="1"/>
  <c r="F345" i="1"/>
  <c r="H345" i="1" s="1"/>
  <c r="D90" i="7"/>
  <c r="D91" i="7"/>
  <c r="D92" i="7"/>
  <c r="D93" i="7"/>
  <c r="D94" i="7"/>
  <c r="H357" i="1" s="1"/>
  <c r="D351" i="1"/>
  <c r="AK347" i="1"/>
  <c r="D347" i="1"/>
  <c r="N296" i="1"/>
  <c r="N306" i="1" s="1"/>
  <c r="O296" i="1"/>
  <c r="P296" i="1"/>
  <c r="P306" i="1" s="1"/>
  <c r="Q296" i="1"/>
  <c r="Q306" i="1" s="1"/>
  <c r="R296" i="1"/>
  <c r="R306" i="1" s="1"/>
  <c r="S296" i="1"/>
  <c r="S306" i="1" s="1"/>
  <c r="T296" i="1"/>
  <c r="T306" i="1" s="1"/>
  <c r="U296" i="1"/>
  <c r="U306" i="1" s="1"/>
  <c r="V296" i="1"/>
  <c r="V306" i="1" s="1"/>
  <c r="W296" i="1"/>
  <c r="W306" i="1" s="1"/>
  <c r="X296" i="1"/>
  <c r="X306" i="1" s="1"/>
  <c r="Y296" i="1"/>
  <c r="Y306" i="1" s="1"/>
  <c r="Z296" i="1"/>
  <c r="Z306" i="1" s="1"/>
  <c r="AA296" i="1"/>
  <c r="AA306" i="1" s="1"/>
  <c r="AB296" i="1"/>
  <c r="AB306" i="1" s="1"/>
  <c r="AC296" i="1"/>
  <c r="AC306" i="1" s="1"/>
  <c r="AD296" i="1"/>
  <c r="AD306" i="1" s="1"/>
  <c r="AE296" i="1"/>
  <c r="AF296" i="1"/>
  <c r="AF306" i="1" s="1"/>
  <c r="AG296" i="1"/>
  <c r="AG306" i="1" s="1"/>
  <c r="AH296" i="1"/>
  <c r="AH306" i="1" s="1"/>
  <c r="AI296" i="1"/>
  <c r="AI306" i="1" s="1"/>
  <c r="AJ296" i="1"/>
  <c r="AJ306" i="1" s="1"/>
  <c r="AK296" i="1"/>
  <c r="AK306" i="1" s="1"/>
  <c r="N297" i="1"/>
  <c r="O297" i="1"/>
  <c r="O307" i="1" s="1"/>
  <c r="P297" i="1"/>
  <c r="P307" i="1" s="1"/>
  <c r="Q297" i="1"/>
  <c r="Q307" i="1" s="1"/>
  <c r="R297" i="1"/>
  <c r="R307" i="1" s="1"/>
  <c r="S297" i="1"/>
  <c r="S307" i="1" s="1"/>
  <c r="T297" i="1"/>
  <c r="T307" i="1" s="1"/>
  <c r="U297" i="1"/>
  <c r="U307" i="1" s="1"/>
  <c r="V297" i="1"/>
  <c r="V307" i="1" s="1"/>
  <c r="W297" i="1"/>
  <c r="W307" i="1" s="1"/>
  <c r="X297" i="1"/>
  <c r="X307" i="1" s="1"/>
  <c r="Y297" i="1"/>
  <c r="Y307" i="1" s="1"/>
  <c r="Z297" i="1"/>
  <c r="Z307" i="1" s="1"/>
  <c r="AA297" i="1"/>
  <c r="AA307" i="1" s="1"/>
  <c r="AB297" i="1"/>
  <c r="AB307" i="1" s="1"/>
  <c r="AC297" i="1"/>
  <c r="AC307" i="1" s="1"/>
  <c r="AD297" i="1"/>
  <c r="AD307" i="1" s="1"/>
  <c r="AE297" i="1"/>
  <c r="AE307" i="1" s="1"/>
  <c r="AF297" i="1"/>
  <c r="AF307" i="1" s="1"/>
  <c r="AG297" i="1"/>
  <c r="AG307" i="1" s="1"/>
  <c r="AH297" i="1"/>
  <c r="AH307" i="1" s="1"/>
  <c r="AI297" i="1"/>
  <c r="AI307" i="1" s="1"/>
  <c r="AJ297" i="1"/>
  <c r="AJ307" i="1" s="1"/>
  <c r="AK297" i="1"/>
  <c r="AK307" i="1" s="1"/>
  <c r="M296" i="1"/>
  <c r="M306" i="1" s="1"/>
  <c r="O306" i="1"/>
  <c r="AE306" i="1"/>
  <c r="N307" i="1"/>
  <c r="M297" i="1"/>
  <c r="M307" i="1" s="1"/>
  <c r="F326" i="1"/>
  <c r="F324" i="1"/>
  <c r="F319" i="1"/>
  <c r="F314" i="1"/>
  <c r="H314" i="1" s="1"/>
  <c r="H317" i="1" s="1"/>
  <c r="F309" i="1"/>
  <c r="F304" i="1"/>
  <c r="H304" i="1" s="1"/>
  <c r="H307" i="1" s="1"/>
  <c r="F299" i="1"/>
  <c r="F294" i="1"/>
  <c r="H294" i="1" s="1"/>
  <c r="D82" i="7"/>
  <c r="D83" i="7"/>
  <c r="D84" i="7"/>
  <c r="D85" i="7"/>
  <c r="D86" i="7"/>
  <c r="D87" i="7"/>
  <c r="D88" i="7"/>
  <c r="D89" i="7"/>
  <c r="F322" i="1"/>
  <c r="F321" i="1"/>
  <c r="F320" i="1"/>
  <c r="D319" i="1"/>
  <c r="F317" i="1"/>
  <c r="F316" i="1"/>
  <c r="F315" i="1"/>
  <c r="AK312" i="1"/>
  <c r="F312" i="1"/>
  <c r="AK311" i="1"/>
  <c r="F311" i="1"/>
  <c r="F310" i="1"/>
  <c r="H309" i="1"/>
  <c r="D309" i="1"/>
  <c r="F307" i="1"/>
  <c r="F306" i="1"/>
  <c r="F305" i="1"/>
  <c r="F302" i="1"/>
  <c r="F301" i="1"/>
  <c r="F300" i="1"/>
  <c r="F297" i="1"/>
  <c r="F296" i="1"/>
  <c r="F295" i="1"/>
  <c r="AA341" i="1"/>
  <c r="AB341" i="1" s="1"/>
  <c r="AC341" i="1" s="1"/>
  <c r="AD341" i="1" s="1"/>
  <c r="AE341" i="1" s="1"/>
  <c r="AF341" i="1" s="1"/>
  <c r="AG341" i="1" s="1"/>
  <c r="AH341" i="1" s="1"/>
  <c r="AI341" i="1" s="1"/>
  <c r="AJ341" i="1" s="1"/>
  <c r="O341" i="1"/>
  <c r="P341" i="1" s="1"/>
  <c r="Q341" i="1" s="1"/>
  <c r="R341" i="1" s="1"/>
  <c r="S341" i="1" s="1"/>
  <c r="T341" i="1" s="1"/>
  <c r="U341" i="1" s="1"/>
  <c r="V341" i="1" s="1"/>
  <c r="W341" i="1" s="1"/>
  <c r="X341" i="1" s="1"/>
  <c r="F339" i="1"/>
  <c r="D339" i="1"/>
  <c r="F337" i="1"/>
  <c r="D335" i="1"/>
  <c r="F335" i="1"/>
  <c r="H335" i="1" s="1"/>
  <c r="AK335" i="1"/>
  <c r="F343" i="1"/>
  <c r="H343" i="1" s="1"/>
  <c r="F341" i="1"/>
  <c r="Y333" i="1"/>
  <c r="N331" i="1"/>
  <c r="O331" i="1" s="1"/>
  <c r="P331" i="1" s="1"/>
  <c r="Q331" i="1" s="1"/>
  <c r="R331" i="1" s="1"/>
  <c r="S331" i="1" s="1"/>
  <c r="N329" i="1"/>
  <c r="M333" i="1"/>
  <c r="M343" i="1" s="1"/>
  <c r="F333" i="1"/>
  <c r="H333" i="1" s="1"/>
  <c r="F331" i="1"/>
  <c r="F329" i="1"/>
  <c r="H329" i="1" s="1"/>
  <c r="D72" i="7"/>
  <c r="D73" i="7"/>
  <c r="D74" i="7"/>
  <c r="D75" i="7"/>
  <c r="D76" i="7"/>
  <c r="D77" i="7"/>
  <c r="D78" i="7"/>
  <c r="D79" i="7"/>
  <c r="D80" i="7"/>
  <c r="D81" i="7"/>
  <c r="D328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M273" i="1"/>
  <c r="M272" i="1"/>
  <c r="F292" i="1"/>
  <c r="H292" i="1" s="1"/>
  <c r="F290" i="1"/>
  <c r="H290" i="1" s="1"/>
  <c r="F285" i="1"/>
  <c r="H285" i="1" s="1"/>
  <c r="F280" i="1"/>
  <c r="F275" i="1"/>
  <c r="F270" i="1"/>
  <c r="F265" i="1"/>
  <c r="F260" i="1"/>
  <c r="H260" i="1" s="1"/>
  <c r="D65" i="7"/>
  <c r="D66" i="7"/>
  <c r="D67" i="7"/>
  <c r="D68" i="7"/>
  <c r="D69" i="7"/>
  <c r="D70" i="7"/>
  <c r="D71" i="7"/>
  <c r="F288" i="1"/>
  <c r="F287" i="1"/>
  <c r="F286" i="1"/>
  <c r="D285" i="1"/>
  <c r="F283" i="1"/>
  <c r="F282" i="1"/>
  <c r="F281" i="1"/>
  <c r="AK278" i="1"/>
  <c r="F278" i="1"/>
  <c r="AK277" i="1"/>
  <c r="F277" i="1"/>
  <c r="F276" i="1"/>
  <c r="D275" i="1"/>
  <c r="F273" i="1"/>
  <c r="F272" i="1"/>
  <c r="F271" i="1"/>
  <c r="F268" i="1"/>
  <c r="F267" i="1"/>
  <c r="F266" i="1"/>
  <c r="F263" i="1"/>
  <c r="F262" i="1"/>
  <c r="F261" i="1"/>
  <c r="F258" i="1"/>
  <c r="F256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D236" i="1" s="1"/>
  <c r="AD258" i="1" s="1"/>
  <c r="AE239" i="1"/>
  <c r="AF239" i="1"/>
  <c r="AG239" i="1"/>
  <c r="AH239" i="1"/>
  <c r="AI239" i="1"/>
  <c r="AJ239" i="1"/>
  <c r="AK239" i="1"/>
  <c r="M239" i="1"/>
  <c r="M238" i="1"/>
  <c r="F251" i="1"/>
  <c r="F246" i="1"/>
  <c r="H246" i="1" s="1"/>
  <c r="F241" i="1"/>
  <c r="F236" i="1"/>
  <c r="H236" i="1" s="1"/>
  <c r="H239" i="1" s="1"/>
  <c r="F231" i="1"/>
  <c r="F226" i="1"/>
  <c r="F234" i="1"/>
  <c r="F233" i="1"/>
  <c r="F232" i="1"/>
  <c r="F254" i="1"/>
  <c r="F253" i="1"/>
  <c r="F252" i="1"/>
  <c r="D251" i="1"/>
  <c r="F249" i="1"/>
  <c r="F248" i="1"/>
  <c r="F247" i="1"/>
  <c r="AK244" i="1"/>
  <c r="F244" i="1"/>
  <c r="AK243" i="1"/>
  <c r="F243" i="1"/>
  <c r="F242" i="1"/>
  <c r="D241" i="1"/>
  <c r="F239" i="1"/>
  <c r="F238" i="1"/>
  <c r="F237" i="1"/>
  <c r="F229" i="1"/>
  <c r="F228" i="1"/>
  <c r="F227" i="1"/>
  <c r="D57" i="7"/>
  <c r="D58" i="7"/>
  <c r="D59" i="7"/>
  <c r="D60" i="7"/>
  <c r="D61" i="7"/>
  <c r="D62" i="7"/>
  <c r="D63" i="7"/>
  <c r="D64" i="7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N209" i="1"/>
  <c r="O209" i="1"/>
  <c r="P209" i="1"/>
  <c r="Q209" i="1"/>
  <c r="R209" i="1"/>
  <c r="R206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G206" i="1" s="1"/>
  <c r="AH209" i="1"/>
  <c r="AI209" i="1"/>
  <c r="AJ209" i="1"/>
  <c r="AK209" i="1"/>
  <c r="M209" i="1"/>
  <c r="M208" i="1"/>
  <c r="F221" i="1"/>
  <c r="H221" i="1" s="1"/>
  <c r="F216" i="1"/>
  <c r="H216" i="1" s="1"/>
  <c r="F211" i="1"/>
  <c r="H211" i="1" s="1"/>
  <c r="F206" i="1"/>
  <c r="H206" i="1" s="1"/>
  <c r="H209" i="1" s="1"/>
  <c r="F201" i="1"/>
  <c r="D52" i="7"/>
  <c r="D53" i="7"/>
  <c r="D54" i="7"/>
  <c r="D55" i="7"/>
  <c r="D56" i="7"/>
  <c r="F224" i="1"/>
  <c r="F223" i="1"/>
  <c r="F222" i="1"/>
  <c r="D221" i="1"/>
  <c r="F219" i="1"/>
  <c r="F218" i="1"/>
  <c r="F217" i="1"/>
  <c r="AK214" i="1"/>
  <c r="F214" i="1"/>
  <c r="AK213" i="1"/>
  <c r="F213" i="1"/>
  <c r="F212" i="1"/>
  <c r="D211" i="1"/>
  <c r="F209" i="1"/>
  <c r="F208" i="1"/>
  <c r="F207" i="1"/>
  <c r="F204" i="1"/>
  <c r="F203" i="1"/>
  <c r="F202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M184" i="1"/>
  <c r="M183" i="1"/>
  <c r="F196" i="1"/>
  <c r="H196" i="1" s="1"/>
  <c r="F191" i="1"/>
  <c r="H191" i="1" s="1"/>
  <c r="F186" i="1"/>
  <c r="H186" i="1" s="1"/>
  <c r="F181" i="1"/>
  <c r="F199" i="1"/>
  <c r="F198" i="1"/>
  <c r="F197" i="1"/>
  <c r="D196" i="1"/>
  <c r="F194" i="1"/>
  <c r="F193" i="1"/>
  <c r="F192" i="1"/>
  <c r="AK189" i="1"/>
  <c r="F189" i="1"/>
  <c r="AK188" i="1"/>
  <c r="F188" i="1"/>
  <c r="F187" i="1"/>
  <c r="D186" i="1"/>
  <c r="F184" i="1"/>
  <c r="F183" i="1"/>
  <c r="F182" i="1"/>
  <c r="F176" i="1"/>
  <c r="H176" i="1" s="1"/>
  <c r="F179" i="1"/>
  <c r="F178" i="1"/>
  <c r="F177" i="1"/>
  <c r="F166" i="1"/>
  <c r="H166" i="1" s="1"/>
  <c r="F161" i="1"/>
  <c r="H161" i="1" s="1"/>
  <c r="H156" i="1"/>
  <c r="F174" i="1"/>
  <c r="F173" i="1"/>
  <c r="F172" i="1"/>
  <c r="D171" i="1"/>
  <c r="F169" i="1"/>
  <c r="F168" i="1"/>
  <c r="F167" i="1"/>
  <c r="AK164" i="1"/>
  <c r="F164" i="1"/>
  <c r="AK163" i="1"/>
  <c r="F163" i="1"/>
  <c r="F162" i="1"/>
  <c r="D161" i="1"/>
  <c r="F159" i="1"/>
  <c r="F158" i="1"/>
  <c r="F157" i="1"/>
  <c r="F151" i="1"/>
  <c r="H151" i="1" s="1"/>
  <c r="F146" i="1"/>
  <c r="F141" i="1"/>
  <c r="D42" i="7"/>
  <c r="D43" i="7"/>
  <c r="D44" i="7"/>
  <c r="D45" i="7"/>
  <c r="D46" i="7"/>
  <c r="D47" i="7"/>
  <c r="D48" i="7"/>
  <c r="D49" i="7"/>
  <c r="D50" i="7"/>
  <c r="D51" i="7"/>
  <c r="D41" i="7"/>
  <c r="F136" i="1"/>
  <c r="H136" i="1" s="1"/>
  <c r="H139" i="1" s="1"/>
  <c r="F134" i="1"/>
  <c r="H134" i="1" s="1"/>
  <c r="F154" i="1"/>
  <c r="F153" i="1"/>
  <c r="F152" i="1"/>
  <c r="F149" i="1"/>
  <c r="F148" i="1"/>
  <c r="F147" i="1"/>
  <c r="AK144" i="1"/>
  <c r="F144" i="1"/>
  <c r="AK143" i="1"/>
  <c r="F143" i="1"/>
  <c r="F142" i="1"/>
  <c r="D141" i="1"/>
  <c r="F139" i="1"/>
  <c r="F138" i="1"/>
  <c r="F137" i="1"/>
  <c r="F129" i="1"/>
  <c r="H129" i="1" s="1"/>
  <c r="F124" i="1"/>
  <c r="H124" i="1" s="1"/>
  <c r="F119" i="1"/>
  <c r="D119" i="1"/>
  <c r="F132" i="1"/>
  <c r="F131" i="1"/>
  <c r="F130" i="1"/>
  <c r="F127" i="1"/>
  <c r="F126" i="1"/>
  <c r="F125" i="1"/>
  <c r="AK122" i="1"/>
  <c r="F122" i="1"/>
  <c r="AK121" i="1"/>
  <c r="F121" i="1"/>
  <c r="F120" i="1"/>
  <c r="F114" i="1"/>
  <c r="D34" i="7"/>
  <c r="D35" i="7"/>
  <c r="D36" i="7"/>
  <c r="D37" i="7"/>
  <c r="D38" i="7"/>
  <c r="D39" i="7"/>
  <c r="D40" i="7"/>
  <c r="N116" i="1"/>
  <c r="N138" i="1" s="1"/>
  <c r="O116" i="1"/>
  <c r="O138" i="1" s="1"/>
  <c r="P116" i="1"/>
  <c r="P138" i="1" s="1"/>
  <c r="Q116" i="1"/>
  <c r="Q138" i="1" s="1"/>
  <c r="R116" i="1"/>
  <c r="R138" i="1" s="1"/>
  <c r="S116" i="1"/>
  <c r="S138" i="1" s="1"/>
  <c r="T116" i="1"/>
  <c r="T138" i="1" s="1"/>
  <c r="U116" i="1"/>
  <c r="U138" i="1" s="1"/>
  <c r="V116" i="1"/>
  <c r="V138" i="1" s="1"/>
  <c r="W116" i="1"/>
  <c r="W138" i="1" s="1"/>
  <c r="X116" i="1"/>
  <c r="X138" i="1" s="1"/>
  <c r="Y116" i="1"/>
  <c r="Y138" i="1" s="1"/>
  <c r="Z116" i="1"/>
  <c r="Z138" i="1" s="1"/>
  <c r="AA116" i="1"/>
  <c r="AA138" i="1" s="1"/>
  <c r="AB116" i="1"/>
  <c r="AB138" i="1" s="1"/>
  <c r="AC116" i="1"/>
  <c r="AC138" i="1" s="1"/>
  <c r="AD116" i="1"/>
  <c r="AD138" i="1" s="1"/>
  <c r="AE116" i="1"/>
  <c r="AE138" i="1" s="1"/>
  <c r="AF116" i="1"/>
  <c r="AF138" i="1" s="1"/>
  <c r="AG116" i="1"/>
  <c r="AG138" i="1" s="1"/>
  <c r="AH116" i="1"/>
  <c r="AH138" i="1" s="1"/>
  <c r="AI116" i="1"/>
  <c r="AI138" i="1" s="1"/>
  <c r="AJ116" i="1"/>
  <c r="AJ138" i="1" s="1"/>
  <c r="AK116" i="1"/>
  <c r="AK138" i="1" s="1"/>
  <c r="N117" i="1"/>
  <c r="N139" i="1" s="1"/>
  <c r="O117" i="1"/>
  <c r="O139" i="1" s="1"/>
  <c r="P117" i="1"/>
  <c r="P139" i="1" s="1"/>
  <c r="Q117" i="1"/>
  <c r="Q139" i="1" s="1"/>
  <c r="R117" i="1"/>
  <c r="R139" i="1" s="1"/>
  <c r="S117" i="1"/>
  <c r="S139" i="1" s="1"/>
  <c r="T117" i="1"/>
  <c r="T139" i="1" s="1"/>
  <c r="U117" i="1"/>
  <c r="U139" i="1" s="1"/>
  <c r="V117" i="1"/>
  <c r="V139" i="1" s="1"/>
  <c r="W117" i="1"/>
  <c r="W139" i="1" s="1"/>
  <c r="X117" i="1"/>
  <c r="X139" i="1" s="1"/>
  <c r="Y117" i="1"/>
  <c r="Y139" i="1" s="1"/>
  <c r="Z117" i="1"/>
  <c r="Z139" i="1" s="1"/>
  <c r="AA117" i="1"/>
  <c r="AA139" i="1" s="1"/>
  <c r="AB117" i="1"/>
  <c r="AB139" i="1" s="1"/>
  <c r="AC117" i="1"/>
  <c r="AC139" i="1" s="1"/>
  <c r="AD117" i="1"/>
  <c r="AD139" i="1" s="1"/>
  <c r="AE117" i="1"/>
  <c r="AE139" i="1" s="1"/>
  <c r="AF117" i="1"/>
  <c r="AF139" i="1" s="1"/>
  <c r="AG117" i="1"/>
  <c r="AG139" i="1" s="1"/>
  <c r="AH117" i="1"/>
  <c r="AH139" i="1" s="1"/>
  <c r="AI117" i="1"/>
  <c r="AI139" i="1" s="1"/>
  <c r="AJ117" i="1"/>
  <c r="AJ139" i="1" s="1"/>
  <c r="AK117" i="1"/>
  <c r="AK139" i="1" s="1"/>
  <c r="M117" i="1"/>
  <c r="M139" i="1" s="1"/>
  <c r="M116" i="1"/>
  <c r="M138" i="1" s="1"/>
  <c r="F117" i="1"/>
  <c r="F116" i="1"/>
  <c r="F115" i="1"/>
  <c r="F112" i="1"/>
  <c r="F107" i="1"/>
  <c r="F102" i="1"/>
  <c r="F97" i="1"/>
  <c r="F110" i="1"/>
  <c r="F109" i="1"/>
  <c r="F108" i="1"/>
  <c r="D107" i="1"/>
  <c r="F105" i="1"/>
  <c r="F104" i="1"/>
  <c r="F103" i="1"/>
  <c r="AK100" i="1"/>
  <c r="F100" i="1"/>
  <c r="AK99" i="1"/>
  <c r="F99" i="1"/>
  <c r="F98" i="1"/>
  <c r="D97" i="1"/>
  <c r="F92" i="1"/>
  <c r="F95" i="1"/>
  <c r="F94" i="1"/>
  <c r="F93" i="1"/>
  <c r="F90" i="1"/>
  <c r="F88" i="1"/>
  <c r="F86" i="1"/>
  <c r="F81" i="1"/>
  <c r="F84" i="1"/>
  <c r="F83" i="1"/>
  <c r="F82" i="1"/>
  <c r="D80" i="1"/>
  <c r="H181" i="1" l="1"/>
  <c r="H184" i="1" s="1"/>
  <c r="H251" i="1"/>
  <c r="H331" i="1"/>
  <c r="H299" i="1"/>
  <c r="H347" i="1"/>
  <c r="H256" i="1"/>
  <c r="H337" i="1"/>
  <c r="H355" i="1"/>
  <c r="H363" i="1"/>
  <c r="H97" i="1"/>
  <c r="H100" i="1" s="1"/>
  <c r="H226" i="1"/>
  <c r="H229" i="1" s="1"/>
  <c r="H265" i="1"/>
  <c r="H231" i="1"/>
  <c r="H258" i="1"/>
  <c r="H270" i="1"/>
  <c r="H273" i="1" s="1"/>
  <c r="H319" i="1"/>
  <c r="H275" i="1"/>
  <c r="H339" i="1"/>
  <c r="H324" i="1"/>
  <c r="H359" i="1"/>
  <c r="H367" i="1"/>
  <c r="H141" i="1"/>
  <c r="H88" i="1"/>
  <c r="H119" i="1"/>
  <c r="H146" i="1"/>
  <c r="H201" i="1"/>
  <c r="H241" i="1"/>
  <c r="H280" i="1"/>
  <c r="H283" i="1" s="1"/>
  <c r="H341" i="1"/>
  <c r="H326" i="1"/>
  <c r="J2" i="4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L1" i="3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M1" i="2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L6" i="2"/>
  <c r="L7" i="2" s="1"/>
  <c r="M6" i="2" s="1"/>
  <c r="M7" i="2" s="1"/>
  <c r="N6" i="2" s="1"/>
  <c r="N7" i="2" s="1"/>
  <c r="T236" i="1"/>
  <c r="T258" i="1" s="1"/>
  <c r="H306" i="1"/>
  <c r="H297" i="1"/>
  <c r="H296" i="1"/>
  <c r="H312" i="1"/>
  <c r="H311" i="1"/>
  <c r="H322" i="1"/>
  <c r="H321" i="1"/>
  <c r="H302" i="1"/>
  <c r="H301" i="1"/>
  <c r="H316" i="1"/>
  <c r="N333" i="1"/>
  <c r="O236" i="1"/>
  <c r="O258" i="1" s="1"/>
  <c r="P236" i="1"/>
  <c r="P258" i="1" s="1"/>
  <c r="AB236" i="1"/>
  <c r="AB258" i="1" s="1"/>
  <c r="AE236" i="1"/>
  <c r="AE258" i="1" s="1"/>
  <c r="S236" i="1"/>
  <c r="S258" i="1" s="1"/>
  <c r="O329" i="1"/>
  <c r="P329" i="1" s="1"/>
  <c r="Q329" i="1" s="1"/>
  <c r="R329" i="1" s="1"/>
  <c r="T329" i="1" s="1"/>
  <c r="U329" i="1" s="1"/>
  <c r="V329" i="1" s="1"/>
  <c r="W329" i="1" s="1"/>
  <c r="X329" i="1" s="1"/>
  <c r="Z329" i="1" s="1"/>
  <c r="AA329" i="1" s="1"/>
  <c r="AB329" i="1" s="1"/>
  <c r="AC329" i="1" s="1"/>
  <c r="AD329" i="1" s="1"/>
  <c r="AE329" i="1" s="1"/>
  <c r="AF329" i="1" s="1"/>
  <c r="AG329" i="1" s="1"/>
  <c r="AH329" i="1" s="1"/>
  <c r="AI329" i="1" s="1"/>
  <c r="AJ329" i="1" s="1"/>
  <c r="AK329" i="1" s="1"/>
  <c r="T331" i="1"/>
  <c r="U331" i="1" s="1"/>
  <c r="V331" i="1" s="1"/>
  <c r="W331" i="1" s="1"/>
  <c r="X331" i="1" s="1"/>
  <c r="S333" i="1"/>
  <c r="AC236" i="1"/>
  <c r="AC258" i="1" s="1"/>
  <c r="AF206" i="1"/>
  <c r="Z206" i="1"/>
  <c r="Q236" i="1"/>
  <c r="Q258" i="1" s="1"/>
  <c r="AA236" i="1"/>
  <c r="AA258" i="1" s="1"/>
  <c r="Q206" i="1"/>
  <c r="AB206" i="1"/>
  <c r="AH136" i="1"/>
  <c r="AA206" i="1"/>
  <c r="O206" i="1"/>
  <c r="X136" i="1"/>
  <c r="R136" i="1"/>
  <c r="AF236" i="1"/>
  <c r="AF258" i="1" s="1"/>
  <c r="R236" i="1"/>
  <c r="R258" i="1" s="1"/>
  <c r="AB136" i="1"/>
  <c r="AD136" i="1"/>
  <c r="AC136" i="1"/>
  <c r="AI136" i="1"/>
  <c r="P206" i="1"/>
  <c r="AD206" i="1"/>
  <c r="Q136" i="1"/>
  <c r="P136" i="1"/>
  <c r="AC206" i="1"/>
  <c r="AG136" i="1"/>
  <c r="AI236" i="1"/>
  <c r="AI258" i="1" s="1"/>
  <c r="AF136" i="1"/>
  <c r="T136" i="1"/>
  <c r="AE206" i="1"/>
  <c r="H267" i="1"/>
  <c r="H268" i="1"/>
  <c r="H278" i="1"/>
  <c r="H277" i="1"/>
  <c r="H288" i="1"/>
  <c r="H287" i="1"/>
  <c r="H263" i="1"/>
  <c r="H262" i="1"/>
  <c r="H282" i="1"/>
  <c r="H272" i="1"/>
  <c r="U136" i="1"/>
  <c r="AE136" i="1"/>
  <c r="S136" i="1"/>
  <c r="Z136" i="1"/>
  <c r="M136" i="1"/>
  <c r="AA136" i="1"/>
  <c r="O136" i="1"/>
  <c r="S206" i="1"/>
  <c r="W236" i="1"/>
  <c r="W258" i="1" s="1"/>
  <c r="AG236" i="1"/>
  <c r="AG258" i="1" s="1"/>
  <c r="U236" i="1"/>
  <c r="U258" i="1" s="1"/>
  <c r="AJ236" i="1"/>
  <c r="AJ258" i="1" s="1"/>
  <c r="AK136" i="1"/>
  <c r="Y136" i="1"/>
  <c r="AK206" i="1"/>
  <c r="Y206" i="1"/>
  <c r="AJ136" i="1"/>
  <c r="W136" i="1"/>
  <c r="AJ206" i="1"/>
  <c r="X236" i="1"/>
  <c r="X258" i="1" s="1"/>
  <c r="V136" i="1"/>
  <c r="V236" i="1"/>
  <c r="V258" i="1" s="1"/>
  <c r="AH236" i="1"/>
  <c r="AH258" i="1" s="1"/>
  <c r="Y236" i="1"/>
  <c r="Y258" i="1" s="1"/>
  <c r="AK236" i="1"/>
  <c r="AK258" i="1" s="1"/>
  <c r="N236" i="1"/>
  <c r="N258" i="1" s="1"/>
  <c r="Z236" i="1"/>
  <c r="Z258" i="1" s="1"/>
  <c r="H234" i="1"/>
  <c r="H233" i="1"/>
  <c r="H249" i="1"/>
  <c r="H248" i="1"/>
  <c r="H254" i="1"/>
  <c r="H253" i="1"/>
  <c r="H243" i="1"/>
  <c r="H244" i="1"/>
  <c r="H238" i="1"/>
  <c r="H228" i="1"/>
  <c r="M236" i="1"/>
  <c r="M258" i="1" s="1"/>
  <c r="AI206" i="1"/>
  <c r="U206" i="1"/>
  <c r="W206" i="1"/>
  <c r="AH206" i="1"/>
  <c r="V206" i="1"/>
  <c r="T206" i="1"/>
  <c r="N206" i="1"/>
  <c r="H208" i="1"/>
  <c r="H224" i="1"/>
  <c r="H223" i="1"/>
  <c r="H213" i="1"/>
  <c r="H214" i="1"/>
  <c r="H204" i="1"/>
  <c r="H203" i="1"/>
  <c r="H219" i="1"/>
  <c r="H218" i="1"/>
  <c r="X206" i="1"/>
  <c r="M206" i="1"/>
  <c r="H194" i="1"/>
  <c r="H193" i="1"/>
  <c r="H199" i="1"/>
  <c r="H198" i="1"/>
  <c r="H188" i="1"/>
  <c r="H189" i="1"/>
  <c r="H183" i="1"/>
  <c r="H179" i="1"/>
  <c r="H178" i="1"/>
  <c r="H169" i="1"/>
  <c r="H168" i="1"/>
  <c r="H174" i="1"/>
  <c r="H173" i="1"/>
  <c r="H163" i="1"/>
  <c r="H164" i="1"/>
  <c r="H159" i="1"/>
  <c r="H158" i="1"/>
  <c r="H148" i="1"/>
  <c r="H149" i="1"/>
  <c r="H154" i="1"/>
  <c r="H153" i="1"/>
  <c r="H144" i="1"/>
  <c r="H143" i="1"/>
  <c r="N136" i="1"/>
  <c r="H138" i="1"/>
  <c r="H127" i="1"/>
  <c r="H126" i="1"/>
  <c r="H132" i="1"/>
  <c r="H131" i="1"/>
  <c r="H121" i="1"/>
  <c r="H122" i="1"/>
  <c r="W114" i="1"/>
  <c r="AI114" i="1"/>
  <c r="AH114" i="1"/>
  <c r="X114" i="1"/>
  <c r="AJ114" i="1"/>
  <c r="Y114" i="1"/>
  <c r="V114" i="1"/>
  <c r="N114" i="1"/>
  <c r="Z114" i="1"/>
  <c r="AK114" i="1"/>
  <c r="H99" i="1"/>
  <c r="D75" i="1"/>
  <c r="F75" i="1"/>
  <c r="D24" i="7"/>
  <c r="H81" i="1" s="1"/>
  <c r="D25" i="7"/>
  <c r="H86" i="1" s="1"/>
  <c r="D26" i="7"/>
  <c r="D27" i="7"/>
  <c r="H90" i="1" s="1"/>
  <c r="D28" i="7"/>
  <c r="H92" i="1" s="1"/>
  <c r="D29" i="7"/>
  <c r="D30" i="7"/>
  <c r="H102" i="1" s="1"/>
  <c r="D31" i="7"/>
  <c r="H107" i="1" s="1"/>
  <c r="D32" i="7"/>
  <c r="H112" i="1" s="1"/>
  <c r="D33" i="7"/>
  <c r="H114" i="1" s="1"/>
  <c r="F78" i="1"/>
  <c r="F77" i="1"/>
  <c r="F76" i="1"/>
  <c r="D55" i="1"/>
  <c r="F70" i="1"/>
  <c r="F73" i="1"/>
  <c r="F72" i="1"/>
  <c r="F71" i="1"/>
  <c r="AK68" i="1"/>
  <c r="AK67" i="1"/>
  <c r="F65" i="1"/>
  <c r="D65" i="1"/>
  <c r="F68" i="1"/>
  <c r="F67" i="1"/>
  <c r="F66" i="1"/>
  <c r="F60" i="1"/>
  <c r="D60" i="1"/>
  <c r="D35" i="1"/>
  <c r="F63" i="1"/>
  <c r="F62" i="1"/>
  <c r="F61" i="1"/>
  <c r="F55" i="1"/>
  <c r="F58" i="1"/>
  <c r="F57" i="1"/>
  <c r="F56" i="1"/>
  <c r="H105" i="1" l="1"/>
  <c r="H104" i="1"/>
  <c r="H109" i="1"/>
  <c r="H110" i="1"/>
  <c r="H95" i="1"/>
  <c r="H94" i="1"/>
  <c r="H117" i="1"/>
  <c r="H116" i="1"/>
  <c r="H84" i="1"/>
  <c r="H83" i="1"/>
  <c r="J2" i="3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O6" i="2"/>
  <c r="O7" i="2" s="1"/>
  <c r="J2" i="2"/>
  <c r="Q333" i="1"/>
  <c r="P333" i="1"/>
  <c r="R333" i="1"/>
  <c r="O333" i="1"/>
  <c r="T333" i="1"/>
  <c r="U333" i="1"/>
  <c r="V333" i="1"/>
  <c r="W333" i="1"/>
  <c r="Z331" i="1"/>
  <c r="X333" i="1"/>
  <c r="F50" i="1"/>
  <c r="D50" i="1"/>
  <c r="F53" i="1"/>
  <c r="F52" i="1"/>
  <c r="F51" i="1"/>
  <c r="F45" i="1"/>
  <c r="F48" i="1"/>
  <c r="F47" i="1"/>
  <c r="F46" i="1"/>
  <c r="AK43" i="1"/>
  <c r="AK42" i="1"/>
  <c r="F40" i="1"/>
  <c r="D40" i="1"/>
  <c r="F43" i="1"/>
  <c r="F42" i="1"/>
  <c r="F41" i="1"/>
  <c r="P6" i="2" l="1"/>
  <c r="P7" i="2" s="1"/>
  <c r="K2" i="2"/>
  <c r="AA331" i="1"/>
  <c r="Z333" i="1"/>
  <c r="M181" i="1"/>
  <c r="N1" i="1"/>
  <c r="L2" i="2" l="1"/>
  <c r="Q6" i="2"/>
  <c r="Q7" i="2" s="1"/>
  <c r="AB331" i="1"/>
  <c r="AA333" i="1"/>
  <c r="O1" i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F35" i="1"/>
  <c r="F38" i="1"/>
  <c r="F37" i="1"/>
  <c r="F36" i="1"/>
  <c r="F30" i="1"/>
  <c r="F33" i="1"/>
  <c r="F32" i="1"/>
  <c r="F31" i="1"/>
  <c r="F25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M23" i="1"/>
  <c r="M22" i="1"/>
  <c r="M10" i="1"/>
  <c r="M15" i="1" s="1"/>
  <c r="F23" i="1"/>
  <c r="F22" i="1"/>
  <c r="F21" i="1"/>
  <c r="F20" i="1"/>
  <c r="F28" i="1"/>
  <c r="F27" i="1"/>
  <c r="F26" i="1"/>
  <c r="F15" i="1"/>
  <c r="H15" i="1" s="1"/>
  <c r="F18" i="1"/>
  <c r="F17" i="1"/>
  <c r="F16" i="1"/>
  <c r="D10" i="1"/>
  <c r="D7" i="1"/>
  <c r="N10" i="1"/>
  <c r="N15" i="1" s="1"/>
  <c r="O10" i="1"/>
  <c r="O15" i="1" s="1"/>
  <c r="P10" i="1"/>
  <c r="P15" i="1" s="1"/>
  <c r="Q10" i="1"/>
  <c r="Q15" i="1" s="1"/>
  <c r="R10" i="1"/>
  <c r="R15" i="1" s="1"/>
  <c r="S10" i="1"/>
  <c r="S15" i="1" s="1"/>
  <c r="T10" i="1"/>
  <c r="T15" i="1" s="1"/>
  <c r="U10" i="1"/>
  <c r="U15" i="1" s="1"/>
  <c r="V10" i="1"/>
  <c r="V15" i="1" s="1"/>
  <c r="W10" i="1"/>
  <c r="W15" i="1" s="1"/>
  <c r="X10" i="1"/>
  <c r="X15" i="1" s="1"/>
  <c r="Y10" i="1"/>
  <c r="Y15" i="1" s="1"/>
  <c r="Z10" i="1"/>
  <c r="Z15" i="1" s="1"/>
  <c r="AA10" i="1"/>
  <c r="AA15" i="1" s="1"/>
  <c r="AB10" i="1"/>
  <c r="AB15" i="1" s="1"/>
  <c r="AC10" i="1"/>
  <c r="AC15" i="1" s="1"/>
  <c r="AD10" i="1"/>
  <c r="AD15" i="1" s="1"/>
  <c r="AE10" i="1"/>
  <c r="AE15" i="1" s="1"/>
  <c r="AF10" i="1"/>
  <c r="AF15" i="1" s="1"/>
  <c r="AG10" i="1"/>
  <c r="AG15" i="1" s="1"/>
  <c r="AH10" i="1"/>
  <c r="AH15" i="1" s="1"/>
  <c r="AI10" i="1"/>
  <c r="AI15" i="1" s="1"/>
  <c r="AJ10" i="1"/>
  <c r="AJ15" i="1" s="1"/>
  <c r="AK10" i="1"/>
  <c r="AK15" i="1" s="1"/>
  <c r="M7" i="1"/>
  <c r="N6" i="1" s="1"/>
  <c r="N7" i="1" s="1"/>
  <c r="O6" i="1" s="1"/>
  <c r="O7" i="1" s="1"/>
  <c r="P6" i="1" s="1"/>
  <c r="P7" i="1" s="1"/>
  <c r="Q6" i="1" s="1"/>
  <c r="Q7" i="1" s="1"/>
  <c r="R6" i="1" s="1"/>
  <c r="R7" i="1" s="1"/>
  <c r="S6" i="1" s="1"/>
  <c r="S7" i="1" s="1"/>
  <c r="T6" i="1" s="1"/>
  <c r="T7" i="1" s="1"/>
  <c r="U6" i="1" s="1"/>
  <c r="U7" i="1" s="1"/>
  <c r="V6" i="1" s="1"/>
  <c r="V7" i="1" s="1"/>
  <c r="W6" i="1" s="1"/>
  <c r="W7" i="1" s="1"/>
  <c r="X6" i="1" s="1"/>
  <c r="X7" i="1" s="1"/>
  <c r="Y6" i="1" s="1"/>
  <c r="Y7" i="1" s="1"/>
  <c r="Z6" i="1" s="1"/>
  <c r="Z7" i="1" s="1"/>
  <c r="AA6" i="1" s="1"/>
  <c r="AA7" i="1" s="1"/>
  <c r="AB6" i="1" s="1"/>
  <c r="AB7" i="1" s="1"/>
  <c r="AC6" i="1" s="1"/>
  <c r="AC7" i="1" s="1"/>
  <c r="AD6" i="1" s="1"/>
  <c r="AD7" i="1" s="1"/>
  <c r="AE6" i="1" s="1"/>
  <c r="AE7" i="1" s="1"/>
  <c r="AF6" i="1" s="1"/>
  <c r="AF7" i="1" s="1"/>
  <c r="AG6" i="1" s="1"/>
  <c r="AG7" i="1" s="1"/>
  <c r="AH6" i="1" s="1"/>
  <c r="AH7" i="1" s="1"/>
  <c r="AI6" i="1" s="1"/>
  <c r="AI7" i="1" s="1"/>
  <c r="AJ6" i="1" s="1"/>
  <c r="AJ7" i="1" s="1"/>
  <c r="AK6" i="1" s="1"/>
  <c r="AK7" i="1" s="1"/>
  <c r="F13" i="1"/>
  <c r="F12" i="1"/>
  <c r="F11" i="1"/>
  <c r="F10" i="1"/>
  <c r="H7" i="1"/>
  <c r="D10" i="7"/>
  <c r="D11" i="7"/>
  <c r="D12" i="7"/>
  <c r="D13" i="7"/>
  <c r="D14" i="7"/>
  <c r="D15" i="7"/>
  <c r="D16" i="7"/>
  <c r="H40" i="1" s="1"/>
  <c r="D17" i="7"/>
  <c r="H45" i="1" s="1"/>
  <c r="D18" i="7"/>
  <c r="H50" i="1" s="1"/>
  <c r="D19" i="7"/>
  <c r="H55" i="1" s="1"/>
  <c r="D20" i="7"/>
  <c r="H60" i="1" s="1"/>
  <c r="D21" i="7"/>
  <c r="H65" i="1" s="1"/>
  <c r="D22" i="7"/>
  <c r="H70" i="1" s="1"/>
  <c r="D23" i="7"/>
  <c r="H75" i="1" s="1"/>
  <c r="D9" i="7"/>
  <c r="H25" i="1" l="1"/>
  <c r="H35" i="1"/>
  <c r="H63" i="1"/>
  <c r="H62" i="1"/>
  <c r="H53" i="1"/>
  <c r="H52" i="1"/>
  <c r="H20" i="1"/>
  <c r="H68" i="1"/>
  <c r="H67" i="1"/>
  <c r="H47" i="1"/>
  <c r="H48" i="1"/>
  <c r="H43" i="1"/>
  <c r="H42" i="1"/>
  <c r="H57" i="1"/>
  <c r="H58" i="1"/>
  <c r="H77" i="1"/>
  <c r="H78" i="1"/>
  <c r="H30" i="1"/>
  <c r="H73" i="1"/>
  <c r="H72" i="1"/>
  <c r="S33" i="2"/>
  <c r="Q30" i="2"/>
  <c r="P30" i="2"/>
  <c r="T33" i="2"/>
  <c r="K30" i="2"/>
  <c r="X30" i="2"/>
  <c r="V32" i="2"/>
  <c r="L33" i="2"/>
  <c r="AC32" i="2"/>
  <c r="P33" i="2"/>
  <c r="R33" i="2"/>
  <c r="L30" i="2"/>
  <c r="N30" i="2"/>
  <c r="W32" i="2"/>
  <c r="T32" i="2"/>
  <c r="AF32" i="2"/>
  <c r="AH32" i="2"/>
  <c r="X33" i="2"/>
  <c r="O33" i="2"/>
  <c r="AB33" i="2"/>
  <c r="Q32" i="2"/>
  <c r="AD33" i="2"/>
  <c r="M32" i="2"/>
  <c r="S30" i="2"/>
  <c r="P32" i="2"/>
  <c r="AA33" i="2"/>
  <c r="AE33" i="2"/>
  <c r="Y32" i="2"/>
  <c r="AB32" i="2"/>
  <c r="K32" i="2"/>
  <c r="AF33" i="2"/>
  <c r="L32" i="2"/>
  <c r="K33" i="2"/>
  <c r="N33" i="2"/>
  <c r="U33" i="2"/>
  <c r="S32" i="2"/>
  <c r="AH33" i="2"/>
  <c r="U32" i="2"/>
  <c r="O30" i="2"/>
  <c r="X32" i="2"/>
  <c r="W33" i="2"/>
  <c r="Z33" i="2"/>
  <c r="J30" i="2"/>
  <c r="AE32" i="2"/>
  <c r="M33" i="2"/>
  <c r="M30" i="2"/>
  <c r="N32" i="2"/>
  <c r="Z32" i="2"/>
  <c r="W30" i="2"/>
  <c r="J33" i="2"/>
  <c r="R30" i="2"/>
  <c r="O32" i="2"/>
  <c r="AG33" i="2"/>
  <c r="V30" i="2"/>
  <c r="Q33" i="2"/>
  <c r="Y33" i="2"/>
  <c r="AG32" i="2"/>
  <c r="R32" i="2"/>
  <c r="J32" i="2"/>
  <c r="AD32" i="2"/>
  <c r="V33" i="2"/>
  <c r="AA32" i="2"/>
  <c r="U30" i="2"/>
  <c r="AC33" i="2"/>
  <c r="T30" i="2"/>
  <c r="H10" i="1"/>
  <c r="H13" i="1" s="1"/>
  <c r="U21" i="2"/>
  <c r="AG21" i="2"/>
  <c r="U22" i="2"/>
  <c r="AG22" i="2"/>
  <c r="V21" i="2"/>
  <c r="AH21" i="2"/>
  <c r="V22" i="2"/>
  <c r="AH22" i="2"/>
  <c r="K21" i="2"/>
  <c r="W21" i="2"/>
  <c r="K22" i="2"/>
  <c r="W22" i="2"/>
  <c r="L21" i="2"/>
  <c r="X21" i="2"/>
  <c r="L22" i="2"/>
  <c r="X22" i="2"/>
  <c r="M21" i="2"/>
  <c r="Y21" i="2"/>
  <c r="M22" i="2"/>
  <c r="Y22" i="2"/>
  <c r="J20" i="2"/>
  <c r="T22" i="2"/>
  <c r="N21" i="2"/>
  <c r="Z21" i="2"/>
  <c r="N22" i="2"/>
  <c r="Z22" i="2"/>
  <c r="J21" i="2"/>
  <c r="O21" i="2"/>
  <c r="AA21" i="2"/>
  <c r="O22" i="2"/>
  <c r="AA22" i="2"/>
  <c r="J22" i="2"/>
  <c r="T21" i="2"/>
  <c r="AF22" i="2"/>
  <c r="P21" i="2"/>
  <c r="AB21" i="2"/>
  <c r="P22" i="2"/>
  <c r="AB22" i="2"/>
  <c r="AF21" i="2"/>
  <c r="Q21" i="2"/>
  <c r="AC21" i="2"/>
  <c r="Q22" i="2"/>
  <c r="AC22" i="2"/>
  <c r="R21" i="2"/>
  <c r="AD21" i="2"/>
  <c r="R22" i="2"/>
  <c r="AD22" i="2"/>
  <c r="S21" i="2"/>
  <c r="AE21" i="2"/>
  <c r="S22" i="2"/>
  <c r="AE22" i="2"/>
  <c r="M2" i="2"/>
  <c r="R6" i="2"/>
  <c r="R7" i="2" s="1"/>
  <c r="AC331" i="1"/>
  <c r="AB333" i="1"/>
  <c r="Y30" i="2" s="1"/>
  <c r="AE63" i="1"/>
  <c r="AE95" i="1"/>
  <c r="S63" i="1"/>
  <c r="S95" i="1"/>
  <c r="AE37" i="1"/>
  <c r="AE62" i="1"/>
  <c r="AE60" i="1" s="1"/>
  <c r="AB12" i="2" s="1"/>
  <c r="AE94" i="1"/>
  <c r="S37" i="1"/>
  <c r="S62" i="1"/>
  <c r="S94" i="1"/>
  <c r="AD63" i="1"/>
  <c r="AD95" i="1"/>
  <c r="R95" i="1"/>
  <c r="R63" i="1"/>
  <c r="AD62" i="1"/>
  <c r="AD94" i="1"/>
  <c r="R94" i="1"/>
  <c r="R62" i="1"/>
  <c r="AC63" i="1"/>
  <c r="AC95" i="1"/>
  <c r="Q63" i="1"/>
  <c r="Q95" i="1"/>
  <c r="AC62" i="1"/>
  <c r="AC94" i="1"/>
  <c r="Q62" i="1"/>
  <c r="Q94" i="1"/>
  <c r="AB63" i="1"/>
  <c r="AB95" i="1"/>
  <c r="P63" i="1"/>
  <c r="P95" i="1"/>
  <c r="AB62" i="1"/>
  <c r="AB94" i="1"/>
  <c r="P62" i="1"/>
  <c r="P94" i="1"/>
  <c r="M94" i="1"/>
  <c r="M62" i="1"/>
  <c r="AA95" i="1"/>
  <c r="AA63" i="1"/>
  <c r="O95" i="1"/>
  <c r="O63" i="1"/>
  <c r="AA94" i="1"/>
  <c r="AA62" i="1"/>
  <c r="O94" i="1"/>
  <c r="O62" i="1"/>
  <c r="M95" i="1"/>
  <c r="M63" i="1"/>
  <c r="Z95" i="1"/>
  <c r="Z63" i="1"/>
  <c r="N95" i="1"/>
  <c r="N63" i="1"/>
  <c r="Z94" i="1"/>
  <c r="Z62" i="1"/>
  <c r="N94" i="1"/>
  <c r="N62" i="1"/>
  <c r="AK63" i="1"/>
  <c r="AK95" i="1"/>
  <c r="Y95" i="1"/>
  <c r="Y63" i="1"/>
  <c r="AK94" i="1"/>
  <c r="Y94" i="1"/>
  <c r="Y62" i="1"/>
  <c r="AJ95" i="1"/>
  <c r="AJ63" i="1"/>
  <c r="X37" i="1"/>
  <c r="X94" i="1"/>
  <c r="X62" i="1"/>
  <c r="AI63" i="1"/>
  <c r="AI95" i="1"/>
  <c r="W63" i="1"/>
  <c r="W95" i="1"/>
  <c r="AI62" i="1"/>
  <c r="AI94" i="1"/>
  <c r="W62" i="1"/>
  <c r="W94" i="1"/>
  <c r="AK38" i="1"/>
  <c r="AH63" i="1"/>
  <c r="AH95" i="1"/>
  <c r="V63" i="1"/>
  <c r="V95" i="1"/>
  <c r="AH62" i="1"/>
  <c r="AH94" i="1"/>
  <c r="V62" i="1"/>
  <c r="V94" i="1"/>
  <c r="Y38" i="1"/>
  <c r="X95" i="1"/>
  <c r="X63" i="1"/>
  <c r="AJ37" i="1"/>
  <c r="AJ94" i="1"/>
  <c r="AJ62" i="1"/>
  <c r="AG63" i="1"/>
  <c r="AG95" i="1"/>
  <c r="U63" i="1"/>
  <c r="U95" i="1"/>
  <c r="AG62" i="1"/>
  <c r="AG94" i="1"/>
  <c r="U62" i="1"/>
  <c r="U94" i="1"/>
  <c r="AK37" i="1"/>
  <c r="AF63" i="1"/>
  <c r="AF95" i="1"/>
  <c r="T63" i="1"/>
  <c r="T95" i="1"/>
  <c r="AF62" i="1"/>
  <c r="AF94" i="1"/>
  <c r="T62" i="1"/>
  <c r="T94" i="1"/>
  <c r="Y37" i="1"/>
  <c r="AI20" i="1"/>
  <c r="AI25" i="1" s="1"/>
  <c r="W20" i="1"/>
  <c r="W25" i="1" s="1"/>
  <c r="AJ38" i="1"/>
  <c r="X38" i="1"/>
  <c r="X20" i="1"/>
  <c r="X25" i="1" s="1"/>
  <c r="V20" i="1"/>
  <c r="V25" i="1" s="1"/>
  <c r="AI38" i="1"/>
  <c r="W38" i="1"/>
  <c r="AI37" i="1"/>
  <c r="W37" i="1"/>
  <c r="AH20" i="1"/>
  <c r="AH25" i="1" s="1"/>
  <c r="U20" i="1"/>
  <c r="U25" i="1" s="1"/>
  <c r="AG20" i="1"/>
  <c r="AG25" i="1" s="1"/>
  <c r="AH38" i="1"/>
  <c r="V38" i="1"/>
  <c r="AH37" i="1"/>
  <c r="V37" i="1"/>
  <c r="AF20" i="1"/>
  <c r="AF25" i="1" s="1"/>
  <c r="T20" i="1"/>
  <c r="T25" i="1" s="1"/>
  <c r="AG38" i="1"/>
  <c r="U38" i="1"/>
  <c r="AG37" i="1"/>
  <c r="U37" i="1"/>
  <c r="AF38" i="1"/>
  <c r="T38" i="1"/>
  <c r="AF37" i="1"/>
  <c r="T37" i="1"/>
  <c r="AD20" i="1"/>
  <c r="AD25" i="1" s="1"/>
  <c r="R20" i="1"/>
  <c r="R25" i="1" s="1"/>
  <c r="AE38" i="1"/>
  <c r="AE35" i="1" s="1"/>
  <c r="AB10" i="2" s="1"/>
  <c r="S38" i="1"/>
  <c r="AE20" i="1"/>
  <c r="AE25" i="1" s="1"/>
  <c r="AC20" i="1"/>
  <c r="AC25" i="1" s="1"/>
  <c r="Q20" i="1"/>
  <c r="Q25" i="1" s="1"/>
  <c r="AD38" i="1"/>
  <c r="R38" i="1"/>
  <c r="AD37" i="1"/>
  <c r="R37" i="1"/>
  <c r="S20" i="1"/>
  <c r="S25" i="1" s="1"/>
  <c r="AB20" i="1"/>
  <c r="AB25" i="1" s="1"/>
  <c r="P20" i="1"/>
  <c r="P25" i="1" s="1"/>
  <c r="AC38" i="1"/>
  <c r="Q38" i="1"/>
  <c r="AC37" i="1"/>
  <c r="Q37" i="1"/>
  <c r="M37" i="1"/>
  <c r="O20" i="1"/>
  <c r="O25" i="1" s="1"/>
  <c r="AB38" i="1"/>
  <c r="P38" i="1"/>
  <c r="AB37" i="1"/>
  <c r="P37" i="1"/>
  <c r="AJ20" i="1"/>
  <c r="AJ25" i="1" s="1"/>
  <c r="AA20" i="1"/>
  <c r="AA25" i="1" s="1"/>
  <c r="Z20" i="1"/>
  <c r="Z25" i="1" s="1"/>
  <c r="N20" i="1"/>
  <c r="N25" i="1" s="1"/>
  <c r="M38" i="1"/>
  <c r="AA38" i="1"/>
  <c r="O38" i="1"/>
  <c r="AA37" i="1"/>
  <c r="O37" i="1"/>
  <c r="AK20" i="1"/>
  <c r="AK25" i="1" s="1"/>
  <c r="AK62" i="1"/>
  <c r="Y20" i="1"/>
  <c r="Y25" i="1" s="1"/>
  <c r="M20" i="1"/>
  <c r="M25" i="1" s="1"/>
  <c r="Z38" i="1"/>
  <c r="N38" i="1"/>
  <c r="Z37" i="1"/>
  <c r="N37" i="1"/>
  <c r="M2" i="1"/>
  <c r="H38" i="1"/>
  <c r="H37" i="1"/>
  <c r="H33" i="1"/>
  <c r="H32" i="1"/>
  <c r="H23" i="1"/>
  <c r="H22" i="1"/>
  <c r="H28" i="1"/>
  <c r="H27" i="1"/>
  <c r="H17" i="1"/>
  <c r="H18" i="1"/>
  <c r="H12" i="1"/>
  <c r="U35" i="1" l="1"/>
  <c r="R10" i="2" s="1"/>
  <c r="T60" i="1"/>
  <c r="Q12" i="2" s="1"/>
  <c r="AH60" i="1"/>
  <c r="AE12" i="2" s="1"/>
  <c r="AB92" i="1"/>
  <c r="Y18" i="2" s="1"/>
  <c r="AB60" i="1"/>
  <c r="Y12" i="2" s="1"/>
  <c r="P92" i="1"/>
  <c r="M18" i="2" s="1"/>
  <c r="V60" i="1"/>
  <c r="S12" i="2" s="1"/>
  <c r="T92" i="1"/>
  <c r="Q18" i="2" s="1"/>
  <c r="AG60" i="1"/>
  <c r="AD12" i="2" s="1"/>
  <c r="S92" i="1"/>
  <c r="P18" i="2" s="1"/>
  <c r="S60" i="1"/>
  <c r="P12" i="2" s="1"/>
  <c r="O60" i="1"/>
  <c r="L12" i="2" s="1"/>
  <c r="AB14" i="2"/>
  <c r="S6" i="2"/>
  <c r="S7" i="2" s="1"/>
  <c r="N2" i="2"/>
  <c r="M357" i="1"/>
  <c r="M365" i="1"/>
  <c r="M317" i="1"/>
  <c r="M316" i="1"/>
  <c r="M349" i="1"/>
  <c r="R92" i="1"/>
  <c r="O18" i="2" s="1"/>
  <c r="V35" i="1"/>
  <c r="S10" i="2" s="1"/>
  <c r="S14" i="2" s="1"/>
  <c r="AJ92" i="1"/>
  <c r="AG18" i="2" s="1"/>
  <c r="AG35" i="1"/>
  <c r="AD10" i="2" s="1"/>
  <c r="W35" i="1"/>
  <c r="T10" i="2" s="1"/>
  <c r="AH92" i="1"/>
  <c r="AE18" i="2" s="1"/>
  <c r="P60" i="1"/>
  <c r="M12" i="2" s="1"/>
  <c r="AI35" i="1"/>
  <c r="AF10" i="2" s="1"/>
  <c r="S35" i="1"/>
  <c r="P10" i="2" s="1"/>
  <c r="AK60" i="1"/>
  <c r="AH12" i="2" s="1"/>
  <c r="N92" i="1"/>
  <c r="K18" i="2" s="1"/>
  <c r="AA92" i="1"/>
  <c r="X18" i="2" s="1"/>
  <c r="AD35" i="1"/>
  <c r="AA10" i="2" s="1"/>
  <c r="U60" i="1"/>
  <c r="R12" i="2" s="1"/>
  <c r="Y35" i="1"/>
  <c r="V10" i="2" s="1"/>
  <c r="AI92" i="1"/>
  <c r="AF18" i="2" s="1"/>
  <c r="Y92" i="1"/>
  <c r="V18" i="2" s="1"/>
  <c r="M60" i="1"/>
  <c r="J12" i="2" s="1"/>
  <c r="AC92" i="1"/>
  <c r="Z18" i="2" s="1"/>
  <c r="AI60" i="1"/>
  <c r="AF12" i="2" s="1"/>
  <c r="AK92" i="1"/>
  <c r="AH18" i="2" s="1"/>
  <c r="AC60" i="1"/>
  <c r="Z12" i="2" s="1"/>
  <c r="AD331" i="1"/>
  <c r="AC333" i="1"/>
  <c r="Z30" i="2" s="1"/>
  <c r="O35" i="1"/>
  <c r="L10" i="2" s="1"/>
  <c r="M283" i="1"/>
  <c r="M337" i="1"/>
  <c r="M282" i="1"/>
  <c r="AC35" i="1"/>
  <c r="Z10" i="2" s="1"/>
  <c r="AF60" i="1"/>
  <c r="AC12" i="2" s="1"/>
  <c r="O92" i="1"/>
  <c r="L18" i="2" s="1"/>
  <c r="Z35" i="1"/>
  <c r="W10" i="2" s="1"/>
  <c r="X60" i="1"/>
  <c r="U12" i="2" s="1"/>
  <c r="N60" i="1"/>
  <c r="K12" i="2" s="1"/>
  <c r="AA60" i="1"/>
  <c r="X12" i="2" s="1"/>
  <c r="R60" i="1"/>
  <c r="O12" i="2" s="1"/>
  <c r="AJ60" i="1"/>
  <c r="AG12" i="2" s="1"/>
  <c r="AJ35" i="1"/>
  <c r="AG10" i="2" s="1"/>
  <c r="AK35" i="1"/>
  <c r="AH10" i="2" s="1"/>
  <c r="M92" i="1"/>
  <c r="J18" i="2" s="1"/>
  <c r="Q35" i="1"/>
  <c r="N10" i="2" s="1"/>
  <c r="M169" i="1"/>
  <c r="M194" i="1"/>
  <c r="M168" i="1"/>
  <c r="M218" i="1"/>
  <c r="M219" i="1"/>
  <c r="M104" i="1"/>
  <c r="M248" i="1"/>
  <c r="M105" i="1"/>
  <c r="M114" i="1" s="1"/>
  <c r="M148" i="1"/>
  <c r="M127" i="1"/>
  <c r="M193" i="1"/>
  <c r="M149" i="1"/>
  <c r="M126" i="1"/>
  <c r="M249" i="1"/>
  <c r="AG92" i="1"/>
  <c r="AD18" i="2" s="1"/>
  <c r="V92" i="1"/>
  <c r="S18" i="2" s="1"/>
  <c r="AF92" i="1"/>
  <c r="AC18" i="2" s="1"/>
  <c r="Z60" i="1"/>
  <c r="W12" i="2" s="1"/>
  <c r="AD92" i="1"/>
  <c r="AA18" i="2" s="1"/>
  <c r="AH35" i="1"/>
  <c r="AE10" i="2" s="1"/>
  <c r="X35" i="1"/>
  <c r="U10" i="2" s="1"/>
  <c r="Z92" i="1"/>
  <c r="W18" i="2" s="1"/>
  <c r="AD60" i="1"/>
  <c r="AA12" i="2" s="1"/>
  <c r="T35" i="1"/>
  <c r="Q10" i="2" s="1"/>
  <c r="W92" i="1"/>
  <c r="T18" i="2" s="1"/>
  <c r="Q92" i="1"/>
  <c r="N18" i="2" s="1"/>
  <c r="AE92" i="1"/>
  <c r="AB18" i="2" s="1"/>
  <c r="R35" i="1"/>
  <c r="O10" i="2" s="1"/>
  <c r="AF35" i="1"/>
  <c r="AC10" i="2" s="1"/>
  <c r="U92" i="1"/>
  <c r="R18" i="2" s="1"/>
  <c r="X92" i="1"/>
  <c r="U18" i="2" s="1"/>
  <c r="W60" i="1"/>
  <c r="T12" i="2" s="1"/>
  <c r="Y60" i="1"/>
  <c r="V12" i="2" s="1"/>
  <c r="Q60" i="1"/>
  <c r="N12" i="2" s="1"/>
  <c r="N35" i="1"/>
  <c r="K10" i="2" s="1"/>
  <c r="M35" i="1"/>
  <c r="AA35" i="1"/>
  <c r="X10" i="2" s="1"/>
  <c r="P35" i="1"/>
  <c r="M10" i="2" s="1"/>
  <c r="M14" i="2" s="1"/>
  <c r="M73" i="1"/>
  <c r="M72" i="1"/>
  <c r="N2" i="1"/>
  <c r="M48" i="1"/>
  <c r="M47" i="1"/>
  <c r="AB35" i="1"/>
  <c r="Y10" i="2" s="1"/>
  <c r="K14" i="2" l="1"/>
  <c r="AH14" i="2"/>
  <c r="J10" i="2"/>
  <c r="J14" i="2" s="1"/>
  <c r="X14" i="2"/>
  <c r="Z14" i="2"/>
  <c r="L14" i="2"/>
  <c r="AD14" i="2"/>
  <c r="W14" i="2"/>
  <c r="R14" i="2"/>
  <c r="Y14" i="2"/>
  <c r="AE14" i="2"/>
  <c r="AG14" i="2"/>
  <c r="P14" i="2"/>
  <c r="V14" i="2"/>
  <c r="AC14" i="2"/>
  <c r="O14" i="2"/>
  <c r="Q14" i="2"/>
  <c r="N14" i="2"/>
  <c r="AF14" i="2"/>
  <c r="U14" i="2"/>
  <c r="AA14" i="2"/>
  <c r="T14" i="2"/>
  <c r="T6" i="2"/>
  <c r="T7" i="2" s="1"/>
  <c r="O2" i="2"/>
  <c r="N365" i="1"/>
  <c r="N357" i="1"/>
  <c r="N317" i="1"/>
  <c r="N316" i="1"/>
  <c r="N349" i="1"/>
  <c r="M304" i="1"/>
  <c r="AE331" i="1"/>
  <c r="AD333" i="1"/>
  <c r="AA30" i="2" s="1"/>
  <c r="N283" i="1"/>
  <c r="N282" i="1"/>
  <c r="N337" i="1"/>
  <c r="M270" i="1"/>
  <c r="N193" i="1"/>
  <c r="N148" i="1"/>
  <c r="N126" i="1"/>
  <c r="N169" i="1"/>
  <c r="N105" i="1"/>
  <c r="N219" i="1"/>
  <c r="N168" i="1"/>
  <c r="N104" i="1"/>
  <c r="N249" i="1"/>
  <c r="N149" i="1"/>
  <c r="N248" i="1"/>
  <c r="N218" i="1"/>
  <c r="N194" i="1"/>
  <c r="N127" i="1"/>
  <c r="O2" i="1"/>
  <c r="N73" i="1"/>
  <c r="N72" i="1"/>
  <c r="N47" i="1"/>
  <c r="N304" i="1" s="1"/>
  <c r="N48" i="1"/>
  <c r="M326" i="1" l="1"/>
  <c r="J24" i="2"/>
  <c r="M292" i="1"/>
  <c r="J23" i="2"/>
  <c r="N326" i="1"/>
  <c r="K24" i="2"/>
  <c r="U6" i="2"/>
  <c r="U7" i="2" s="1"/>
  <c r="P2" i="2"/>
  <c r="O365" i="1"/>
  <c r="O357" i="1"/>
  <c r="O317" i="1"/>
  <c r="O316" i="1"/>
  <c r="O349" i="1"/>
  <c r="AF331" i="1"/>
  <c r="AE333" i="1"/>
  <c r="AB30" i="2" s="1"/>
  <c r="O283" i="1"/>
  <c r="O282" i="1"/>
  <c r="O337" i="1"/>
  <c r="N270" i="1"/>
  <c r="O169" i="1"/>
  <c r="O148" i="1"/>
  <c r="O105" i="1"/>
  <c r="O104" i="1"/>
  <c r="O168" i="1"/>
  <c r="O249" i="1"/>
  <c r="O218" i="1"/>
  <c r="O248" i="1"/>
  <c r="O194" i="1"/>
  <c r="O149" i="1"/>
  <c r="O127" i="1"/>
  <c r="O219" i="1"/>
  <c r="O193" i="1"/>
  <c r="O126" i="1"/>
  <c r="P2" i="1"/>
  <c r="O73" i="1"/>
  <c r="O72" i="1"/>
  <c r="O47" i="1"/>
  <c r="O48" i="1"/>
  <c r="M345" i="1" l="1"/>
  <c r="J31" i="2" s="1"/>
  <c r="J28" i="2" s="1"/>
  <c r="N292" i="1"/>
  <c r="K23" i="2"/>
  <c r="Q2" i="2"/>
  <c r="V6" i="2"/>
  <c r="V7" i="2" s="1"/>
  <c r="P365" i="1"/>
  <c r="P357" i="1"/>
  <c r="P317" i="1"/>
  <c r="P316" i="1"/>
  <c r="P349" i="1"/>
  <c r="O304" i="1"/>
  <c r="AG331" i="1"/>
  <c r="AF333" i="1"/>
  <c r="AC30" i="2" s="1"/>
  <c r="P283" i="1"/>
  <c r="P282" i="1"/>
  <c r="P337" i="1"/>
  <c r="O270" i="1"/>
  <c r="O343" i="1"/>
  <c r="N343" i="1"/>
  <c r="N345" i="1" s="1"/>
  <c r="K31" i="2" s="1"/>
  <c r="K28" i="2" s="1"/>
  <c r="P168" i="1"/>
  <c r="P105" i="1"/>
  <c r="P104" i="1"/>
  <c r="P249" i="1"/>
  <c r="P193" i="1"/>
  <c r="P148" i="1"/>
  <c r="P126" i="1"/>
  <c r="P248" i="1"/>
  <c r="P149" i="1"/>
  <c r="P219" i="1"/>
  <c r="P127" i="1"/>
  <c r="P218" i="1"/>
  <c r="P194" i="1"/>
  <c r="P169" i="1"/>
  <c r="O114" i="1"/>
  <c r="Q2" i="1"/>
  <c r="P73" i="1"/>
  <c r="P72" i="1"/>
  <c r="P48" i="1"/>
  <c r="P47" i="1"/>
  <c r="P304" i="1" s="1"/>
  <c r="O326" i="1" l="1"/>
  <c r="L24" i="2"/>
  <c r="O292" i="1"/>
  <c r="L23" i="2"/>
  <c r="P326" i="1"/>
  <c r="M24" i="2"/>
  <c r="W6" i="2"/>
  <c r="W7" i="2" s="1"/>
  <c r="R2" i="2"/>
  <c r="Q365" i="1"/>
  <c r="Q357" i="1"/>
  <c r="Q317" i="1"/>
  <c r="Q316" i="1"/>
  <c r="Q349" i="1"/>
  <c r="O345" i="1"/>
  <c r="L31" i="2" s="1"/>
  <c r="L28" i="2" s="1"/>
  <c r="AH331" i="1"/>
  <c r="AG333" i="1"/>
  <c r="AD30" i="2" s="1"/>
  <c r="Q282" i="1"/>
  <c r="Q337" i="1"/>
  <c r="Q283" i="1"/>
  <c r="P343" i="1"/>
  <c r="P270" i="1"/>
  <c r="P114" i="1"/>
  <c r="Q168" i="1"/>
  <c r="Q249" i="1"/>
  <c r="Q105" i="1"/>
  <c r="Q104" i="1"/>
  <c r="Q248" i="1"/>
  <c r="Q193" i="1"/>
  <c r="Q148" i="1"/>
  <c r="Q126" i="1"/>
  <c r="Q219" i="1"/>
  <c r="Q218" i="1"/>
  <c r="Q194" i="1"/>
  <c r="Q149" i="1"/>
  <c r="Q127" i="1"/>
  <c r="Q169" i="1"/>
  <c r="R2" i="1"/>
  <c r="Q73" i="1"/>
  <c r="Q72" i="1"/>
  <c r="Q47" i="1"/>
  <c r="Q48" i="1"/>
  <c r="P292" i="1" l="1"/>
  <c r="P345" i="1" s="1"/>
  <c r="M31" i="2" s="1"/>
  <c r="M28" i="2" s="1"/>
  <c r="M23" i="2"/>
  <c r="X6" i="2"/>
  <c r="X7" i="2" s="1"/>
  <c r="S2" i="2"/>
  <c r="R365" i="1"/>
  <c r="R357" i="1"/>
  <c r="R317" i="1"/>
  <c r="R316" i="1"/>
  <c r="R349" i="1"/>
  <c r="Q304" i="1"/>
  <c r="AI331" i="1"/>
  <c r="AH333" i="1"/>
  <c r="AE30" i="2" s="1"/>
  <c r="R282" i="1"/>
  <c r="R337" i="1"/>
  <c r="R283" i="1"/>
  <c r="Q270" i="1"/>
  <c r="Q114" i="1"/>
  <c r="R249" i="1"/>
  <c r="R105" i="1"/>
  <c r="R248" i="1"/>
  <c r="R104" i="1"/>
  <c r="R168" i="1"/>
  <c r="R169" i="1"/>
  <c r="R219" i="1"/>
  <c r="R218" i="1"/>
  <c r="R194" i="1"/>
  <c r="R149" i="1"/>
  <c r="R127" i="1"/>
  <c r="R148" i="1"/>
  <c r="R126" i="1"/>
  <c r="R193" i="1"/>
  <c r="S2" i="1"/>
  <c r="R73" i="1"/>
  <c r="R72" i="1"/>
  <c r="R48" i="1"/>
  <c r="R47" i="1"/>
  <c r="R304" i="1" s="1"/>
  <c r="Q326" i="1" l="1"/>
  <c r="N24" i="2"/>
  <c r="R326" i="1"/>
  <c r="O24" i="2"/>
  <c r="Q292" i="1"/>
  <c r="N23" i="2"/>
  <c r="Y6" i="2"/>
  <c r="Y7" i="2" s="1"/>
  <c r="T2" i="2"/>
  <c r="S365" i="1"/>
  <c r="S357" i="1"/>
  <c r="S317" i="1"/>
  <c r="S316" i="1"/>
  <c r="S349" i="1"/>
  <c r="AJ331" i="1"/>
  <c r="AI333" i="1"/>
  <c r="AF30" i="2" s="1"/>
  <c r="S337" i="1"/>
  <c r="S282" i="1"/>
  <c r="S283" i="1"/>
  <c r="Q343" i="1"/>
  <c r="R270" i="1"/>
  <c r="R343" i="1"/>
  <c r="R114" i="1"/>
  <c r="S248" i="1"/>
  <c r="S104" i="1"/>
  <c r="S127" i="1"/>
  <c r="S168" i="1"/>
  <c r="S219" i="1"/>
  <c r="S218" i="1"/>
  <c r="S194" i="1"/>
  <c r="S149" i="1"/>
  <c r="S193" i="1"/>
  <c r="S148" i="1"/>
  <c r="S126" i="1"/>
  <c r="S169" i="1"/>
  <c r="S249" i="1"/>
  <c r="S105" i="1"/>
  <c r="T2" i="1"/>
  <c r="S73" i="1"/>
  <c r="S72" i="1"/>
  <c r="S47" i="1"/>
  <c r="S48" i="1"/>
  <c r="Q345" i="1" l="1"/>
  <c r="N31" i="2" s="1"/>
  <c r="N28" i="2" s="1"/>
  <c r="R292" i="1"/>
  <c r="O23" i="2"/>
  <c r="Z6" i="2"/>
  <c r="Z7" i="2" s="1"/>
  <c r="U2" i="2"/>
  <c r="T365" i="1"/>
  <c r="T357" i="1"/>
  <c r="T317" i="1"/>
  <c r="T316" i="1"/>
  <c r="T349" i="1"/>
  <c r="R345" i="1"/>
  <c r="O31" i="2" s="1"/>
  <c r="O28" i="2" s="1"/>
  <c r="S343" i="1"/>
  <c r="AK331" i="1"/>
  <c r="AK333" i="1" s="1"/>
  <c r="AH30" i="2" s="1"/>
  <c r="AJ333" i="1"/>
  <c r="AG30" i="2" s="1"/>
  <c r="T337" i="1"/>
  <c r="T282" i="1"/>
  <c r="T283" i="1"/>
  <c r="S270" i="1"/>
  <c r="S114" i="1"/>
  <c r="T168" i="1"/>
  <c r="T219" i="1"/>
  <c r="T127" i="1"/>
  <c r="T126" i="1"/>
  <c r="T218" i="1"/>
  <c r="T194" i="1"/>
  <c r="T149" i="1"/>
  <c r="T105" i="1"/>
  <c r="T193" i="1"/>
  <c r="T148" i="1"/>
  <c r="T169" i="1"/>
  <c r="T249" i="1"/>
  <c r="T248" i="1"/>
  <c r="T104" i="1"/>
  <c r="U2" i="1"/>
  <c r="T73" i="1"/>
  <c r="T72" i="1"/>
  <c r="T48" i="1"/>
  <c r="T47" i="1"/>
  <c r="S292" i="1" l="1"/>
  <c r="P23" i="2"/>
  <c r="V2" i="2"/>
  <c r="AA6" i="2"/>
  <c r="AA7" i="2" s="1"/>
  <c r="U357" i="1"/>
  <c r="U365" i="1"/>
  <c r="U316" i="1"/>
  <c r="U349" i="1"/>
  <c r="U317" i="1"/>
  <c r="S304" i="1"/>
  <c r="T343" i="1"/>
  <c r="U283" i="1"/>
  <c r="U337" i="1"/>
  <c r="U282" i="1"/>
  <c r="T270" i="1"/>
  <c r="U194" i="1"/>
  <c r="U219" i="1"/>
  <c r="U105" i="1"/>
  <c r="U104" i="1"/>
  <c r="U218" i="1"/>
  <c r="U126" i="1"/>
  <c r="U149" i="1"/>
  <c r="U127" i="1"/>
  <c r="U148" i="1"/>
  <c r="U193" i="1"/>
  <c r="U169" i="1"/>
  <c r="U248" i="1"/>
  <c r="U168" i="1"/>
  <c r="U249" i="1"/>
  <c r="T114" i="1"/>
  <c r="V2" i="1"/>
  <c r="U72" i="1"/>
  <c r="U73" i="1"/>
  <c r="U47" i="1"/>
  <c r="U48" i="1"/>
  <c r="S326" i="1" l="1"/>
  <c r="S345" i="1" s="1"/>
  <c r="P31" i="2" s="1"/>
  <c r="P28" i="2" s="1"/>
  <c r="P24" i="2"/>
  <c r="T292" i="1"/>
  <c r="Q23" i="2"/>
  <c r="W2" i="2"/>
  <c r="AB6" i="2"/>
  <c r="AB7" i="2" s="1"/>
  <c r="V357" i="1"/>
  <c r="V365" i="1"/>
  <c r="V349" i="1"/>
  <c r="V317" i="1"/>
  <c r="V316" i="1"/>
  <c r="T304" i="1"/>
  <c r="U304" i="1"/>
  <c r="V283" i="1"/>
  <c r="V337" i="1"/>
  <c r="V282" i="1"/>
  <c r="U343" i="1"/>
  <c r="U270" i="1"/>
  <c r="V219" i="1"/>
  <c r="V218" i="1"/>
  <c r="V194" i="1"/>
  <c r="V149" i="1"/>
  <c r="V127" i="1"/>
  <c r="V193" i="1"/>
  <c r="V148" i="1"/>
  <c r="V126" i="1"/>
  <c r="V169" i="1"/>
  <c r="V104" i="1"/>
  <c r="V168" i="1"/>
  <c r="V249" i="1"/>
  <c r="V105" i="1"/>
  <c r="V248" i="1"/>
  <c r="U114" i="1"/>
  <c r="W2" i="1"/>
  <c r="V72" i="1"/>
  <c r="V73" i="1"/>
  <c r="V48" i="1"/>
  <c r="V47" i="1"/>
  <c r="T326" i="1" l="1"/>
  <c r="T345" i="1" s="1"/>
  <c r="Q31" i="2" s="1"/>
  <c r="Q28" i="2" s="1"/>
  <c r="Q24" i="2"/>
  <c r="U292" i="1"/>
  <c r="R23" i="2"/>
  <c r="U326" i="1"/>
  <c r="R24" i="2"/>
  <c r="X2" i="2"/>
  <c r="AC6" i="2"/>
  <c r="AC7" i="2" s="1"/>
  <c r="W365" i="1"/>
  <c r="W357" i="1"/>
  <c r="U345" i="1"/>
  <c r="R31" i="2" s="1"/>
  <c r="R28" i="2" s="1"/>
  <c r="W349" i="1"/>
  <c r="W317" i="1"/>
  <c r="W316" i="1"/>
  <c r="V304" i="1"/>
  <c r="W283" i="1"/>
  <c r="W282" i="1"/>
  <c r="W337" i="1"/>
  <c r="V343" i="1"/>
  <c r="V270" i="1"/>
  <c r="W219" i="1"/>
  <c r="W218" i="1"/>
  <c r="W194" i="1"/>
  <c r="W193" i="1"/>
  <c r="W149" i="1"/>
  <c r="W127" i="1"/>
  <c r="W148" i="1"/>
  <c r="W126" i="1"/>
  <c r="W169" i="1"/>
  <c r="W168" i="1"/>
  <c r="W249" i="1"/>
  <c r="W105" i="1"/>
  <c r="W248" i="1"/>
  <c r="W104" i="1"/>
  <c r="X2" i="1"/>
  <c r="W72" i="1"/>
  <c r="W73" i="1"/>
  <c r="W47" i="1"/>
  <c r="W48" i="1"/>
  <c r="V292" i="1" l="1"/>
  <c r="S23" i="2"/>
  <c r="V326" i="1"/>
  <c r="S24" i="2"/>
  <c r="AD6" i="2"/>
  <c r="AD7" i="2" s="1"/>
  <c r="Y2" i="2"/>
  <c r="X365" i="1"/>
  <c r="X357" i="1"/>
  <c r="V345" i="1"/>
  <c r="S31" i="2" s="1"/>
  <c r="S28" i="2" s="1"/>
  <c r="X349" i="1"/>
  <c r="X317" i="1"/>
  <c r="X316" i="1"/>
  <c r="W304" i="1"/>
  <c r="X283" i="1"/>
  <c r="X282" i="1"/>
  <c r="X337" i="1"/>
  <c r="W343" i="1"/>
  <c r="W270" i="1"/>
  <c r="X218" i="1"/>
  <c r="X194" i="1"/>
  <c r="X149" i="1"/>
  <c r="X127" i="1"/>
  <c r="X219" i="1"/>
  <c r="X193" i="1"/>
  <c r="X148" i="1"/>
  <c r="X126" i="1"/>
  <c r="X169" i="1"/>
  <c r="X168" i="1"/>
  <c r="X105" i="1"/>
  <c r="X249" i="1"/>
  <c r="X248" i="1"/>
  <c r="X104" i="1"/>
  <c r="Y2" i="1"/>
  <c r="X73" i="1"/>
  <c r="X72" i="1"/>
  <c r="X48" i="1"/>
  <c r="X47" i="1"/>
  <c r="W292" i="1" l="1"/>
  <c r="T23" i="2"/>
  <c r="W326" i="1"/>
  <c r="T24" i="2"/>
  <c r="Z2" i="2"/>
  <c r="AE6" i="2"/>
  <c r="AE7" i="2" s="1"/>
  <c r="Y365" i="1"/>
  <c r="Y357" i="1"/>
  <c r="W345" i="1"/>
  <c r="T31" i="2" s="1"/>
  <c r="T28" i="2" s="1"/>
  <c r="Y317" i="1"/>
  <c r="Y316" i="1"/>
  <c r="Y349" i="1"/>
  <c r="X304" i="1"/>
  <c r="Y283" i="1"/>
  <c r="Y282" i="1"/>
  <c r="Y337" i="1"/>
  <c r="X343" i="1"/>
  <c r="X270" i="1"/>
  <c r="Y149" i="1"/>
  <c r="Y127" i="1"/>
  <c r="Y193" i="1"/>
  <c r="Y148" i="1"/>
  <c r="Y126" i="1"/>
  <c r="Y104" i="1"/>
  <c r="Y194" i="1"/>
  <c r="Y169" i="1"/>
  <c r="Y105" i="1"/>
  <c r="Y168" i="1"/>
  <c r="Y249" i="1"/>
  <c r="Y219" i="1"/>
  <c r="Y218" i="1"/>
  <c r="Y248" i="1"/>
  <c r="Z2" i="1"/>
  <c r="Y73" i="1"/>
  <c r="Y72" i="1"/>
  <c r="Y48" i="1"/>
  <c r="Y47" i="1"/>
  <c r="X292" i="1" l="1"/>
  <c r="U23" i="2"/>
  <c r="X326" i="1"/>
  <c r="U24" i="2"/>
  <c r="AA2" i="2"/>
  <c r="AF6" i="2"/>
  <c r="AF7" i="2" s="1"/>
  <c r="Z365" i="1"/>
  <c r="Z357" i="1"/>
  <c r="X345" i="1"/>
  <c r="U31" i="2" s="1"/>
  <c r="U28" i="2" s="1"/>
  <c r="Z317" i="1"/>
  <c r="Z316" i="1"/>
  <c r="Z349" i="1"/>
  <c r="Y304" i="1"/>
  <c r="Z283" i="1"/>
  <c r="Z282" i="1"/>
  <c r="Z337" i="1"/>
  <c r="Y343" i="1"/>
  <c r="Y270" i="1"/>
  <c r="Z193" i="1"/>
  <c r="Z148" i="1"/>
  <c r="Z126" i="1"/>
  <c r="Z149" i="1"/>
  <c r="Z169" i="1"/>
  <c r="Z219" i="1"/>
  <c r="Z168" i="1"/>
  <c r="Z104" i="1"/>
  <c r="Z249" i="1"/>
  <c r="Z105" i="1"/>
  <c r="Z248" i="1"/>
  <c r="Z194" i="1"/>
  <c r="Z218" i="1"/>
  <c r="Z127" i="1"/>
  <c r="AA2" i="1"/>
  <c r="Z73" i="1"/>
  <c r="Z72" i="1"/>
  <c r="Z47" i="1"/>
  <c r="Z48" i="1"/>
  <c r="Y292" i="1" l="1"/>
  <c r="V23" i="2"/>
  <c r="Y326" i="1"/>
  <c r="V24" i="2"/>
  <c r="AB2" i="2"/>
  <c r="AG6" i="2"/>
  <c r="AG7" i="2" s="1"/>
  <c r="AA365" i="1"/>
  <c r="AA357" i="1"/>
  <c r="AA317" i="1"/>
  <c r="AA316" i="1"/>
  <c r="AA349" i="1"/>
  <c r="Y345" i="1"/>
  <c r="V31" i="2" s="1"/>
  <c r="V28" i="2" s="1"/>
  <c r="Z304" i="1"/>
  <c r="AA283" i="1"/>
  <c r="AA282" i="1"/>
  <c r="AA337" i="1"/>
  <c r="Z343" i="1"/>
  <c r="Z270" i="1"/>
  <c r="AA169" i="1"/>
  <c r="AA105" i="1"/>
  <c r="AA218" i="1"/>
  <c r="AA193" i="1"/>
  <c r="AA148" i="1"/>
  <c r="AA168" i="1"/>
  <c r="AA194" i="1"/>
  <c r="AA249" i="1"/>
  <c r="AA248" i="1"/>
  <c r="AA104" i="1"/>
  <c r="AA149" i="1"/>
  <c r="AA127" i="1"/>
  <c r="AA219" i="1"/>
  <c r="AA126" i="1"/>
  <c r="AB2" i="1"/>
  <c r="AA73" i="1"/>
  <c r="AA72" i="1"/>
  <c r="AA47" i="1"/>
  <c r="AA48" i="1"/>
  <c r="Z292" i="1" l="1"/>
  <c r="W23" i="2"/>
  <c r="Z326" i="1"/>
  <c r="W24" i="2"/>
  <c r="AH6" i="2"/>
  <c r="AH7" i="2" s="1"/>
  <c r="AC2" i="2"/>
  <c r="AB365" i="1"/>
  <c r="AB357" i="1"/>
  <c r="Z345" i="1"/>
  <c r="W31" i="2" s="1"/>
  <c r="W28" i="2" s="1"/>
  <c r="AB317" i="1"/>
  <c r="AB316" i="1"/>
  <c r="AB349" i="1"/>
  <c r="AA304" i="1"/>
  <c r="AB283" i="1"/>
  <c r="AB282" i="1"/>
  <c r="AB337" i="1"/>
  <c r="AA343" i="1"/>
  <c r="AA270" i="1"/>
  <c r="AA114" i="1"/>
  <c r="AB168" i="1"/>
  <c r="AB105" i="1"/>
  <c r="AB104" i="1"/>
  <c r="AB249" i="1"/>
  <c r="AB149" i="1"/>
  <c r="AB127" i="1"/>
  <c r="AB248" i="1"/>
  <c r="AB193" i="1"/>
  <c r="AB148" i="1"/>
  <c r="AB126" i="1"/>
  <c r="AB169" i="1"/>
  <c r="AB219" i="1"/>
  <c r="AB218" i="1"/>
  <c r="AB194" i="1"/>
  <c r="AC2" i="1"/>
  <c r="AB73" i="1"/>
  <c r="AB72" i="1"/>
  <c r="AB47" i="1"/>
  <c r="AB48" i="1"/>
  <c r="AA292" i="1" l="1"/>
  <c r="X23" i="2"/>
  <c r="AA326" i="1"/>
  <c r="X24" i="2"/>
  <c r="AD2" i="2"/>
  <c r="AC365" i="1"/>
  <c r="AC357" i="1"/>
  <c r="AA345" i="1"/>
  <c r="X31" i="2" s="1"/>
  <c r="X28" i="2" s="1"/>
  <c r="AC317" i="1"/>
  <c r="AC316" i="1"/>
  <c r="AC349" i="1"/>
  <c r="AB304" i="1"/>
  <c r="AC282" i="1"/>
  <c r="AC337" i="1"/>
  <c r="AC283" i="1"/>
  <c r="AB343" i="1"/>
  <c r="AB270" i="1"/>
  <c r="AB114" i="1"/>
  <c r="AC168" i="1"/>
  <c r="AC249" i="1"/>
  <c r="AC105" i="1"/>
  <c r="AC248" i="1"/>
  <c r="AC104" i="1"/>
  <c r="AC169" i="1"/>
  <c r="AC193" i="1"/>
  <c r="AC148" i="1"/>
  <c r="AC219" i="1"/>
  <c r="AC126" i="1"/>
  <c r="AC218" i="1"/>
  <c r="AC194" i="1"/>
  <c r="AC149" i="1"/>
  <c r="AC127" i="1"/>
  <c r="AD2" i="1"/>
  <c r="AC73" i="1"/>
  <c r="AC72" i="1"/>
  <c r="AC47" i="1"/>
  <c r="AC48" i="1"/>
  <c r="AB326" i="1" l="1"/>
  <c r="Y24" i="2"/>
  <c r="AB292" i="1"/>
  <c r="Y23" i="2"/>
  <c r="AE2" i="2"/>
  <c r="AD365" i="1"/>
  <c r="AD357" i="1"/>
  <c r="AD317" i="1"/>
  <c r="AD316" i="1"/>
  <c r="AD349" i="1"/>
  <c r="AB345" i="1"/>
  <c r="Y31" i="2" s="1"/>
  <c r="Y28" i="2" s="1"/>
  <c r="AC304" i="1"/>
  <c r="AD282" i="1"/>
  <c r="AD337" i="1"/>
  <c r="AD283" i="1"/>
  <c r="AC343" i="1"/>
  <c r="AC270" i="1"/>
  <c r="AD249" i="1"/>
  <c r="AD105" i="1"/>
  <c r="AD248" i="1"/>
  <c r="AD104" i="1"/>
  <c r="AD169" i="1"/>
  <c r="AD219" i="1"/>
  <c r="AD218" i="1"/>
  <c r="AD194" i="1"/>
  <c r="AD149" i="1"/>
  <c r="AD127" i="1"/>
  <c r="AD148" i="1"/>
  <c r="AD126" i="1"/>
  <c r="AD193" i="1"/>
  <c r="AD168" i="1"/>
  <c r="AC114" i="1"/>
  <c r="AE2" i="1"/>
  <c r="AD73" i="1"/>
  <c r="AD72" i="1"/>
  <c r="AD47" i="1"/>
  <c r="AD48" i="1"/>
  <c r="AC326" i="1" l="1"/>
  <c r="Z24" i="2"/>
  <c r="AC292" i="1"/>
  <c r="AC345" i="1" s="1"/>
  <c r="Z31" i="2" s="1"/>
  <c r="Z28" i="2" s="1"/>
  <c r="Z23" i="2"/>
  <c r="AF2" i="2"/>
  <c r="AE365" i="1"/>
  <c r="AE357" i="1"/>
  <c r="AE317" i="1"/>
  <c r="AE316" i="1"/>
  <c r="AE349" i="1"/>
  <c r="AD304" i="1"/>
  <c r="AE337" i="1"/>
  <c r="AE282" i="1"/>
  <c r="AE283" i="1"/>
  <c r="AD343" i="1"/>
  <c r="AD270" i="1"/>
  <c r="AD114" i="1"/>
  <c r="AE248" i="1"/>
  <c r="AE104" i="1"/>
  <c r="AE168" i="1"/>
  <c r="AE127" i="1"/>
  <c r="AE219" i="1"/>
  <c r="AE218" i="1"/>
  <c r="AE194" i="1"/>
  <c r="AE149" i="1"/>
  <c r="AE193" i="1"/>
  <c r="AE148" i="1"/>
  <c r="AE126" i="1"/>
  <c r="AE169" i="1"/>
  <c r="AE249" i="1"/>
  <c r="AE105" i="1"/>
  <c r="AF2" i="1"/>
  <c r="AE72" i="1"/>
  <c r="AE73" i="1"/>
  <c r="AE47" i="1"/>
  <c r="AE48" i="1"/>
  <c r="AD326" i="1" l="1"/>
  <c r="AA24" i="2"/>
  <c r="AD292" i="1"/>
  <c r="AA23" i="2"/>
  <c r="AG2" i="2"/>
  <c r="AF365" i="1"/>
  <c r="AF357" i="1"/>
  <c r="AD345" i="1"/>
  <c r="AA31" i="2" s="1"/>
  <c r="AA28" i="2" s="1"/>
  <c r="AF317" i="1"/>
  <c r="AF316" i="1"/>
  <c r="AF349" i="1"/>
  <c r="AE304" i="1"/>
  <c r="AF337" i="1"/>
  <c r="AF282" i="1"/>
  <c r="AF283" i="1"/>
  <c r="AE343" i="1"/>
  <c r="AE270" i="1"/>
  <c r="AE114" i="1"/>
  <c r="AF105" i="1"/>
  <c r="AF219" i="1"/>
  <c r="AF218" i="1"/>
  <c r="AF194" i="1"/>
  <c r="AF149" i="1"/>
  <c r="AF168" i="1"/>
  <c r="AF127" i="1"/>
  <c r="AF126" i="1"/>
  <c r="AF193" i="1"/>
  <c r="AF148" i="1"/>
  <c r="AF169" i="1"/>
  <c r="AF249" i="1"/>
  <c r="AF248" i="1"/>
  <c r="AF104" i="1"/>
  <c r="AG2" i="1"/>
  <c r="AF73" i="1"/>
  <c r="AF72" i="1"/>
  <c r="AF47" i="1"/>
  <c r="AF48" i="1"/>
  <c r="AE326" i="1" l="1"/>
  <c r="AB24" i="2"/>
  <c r="AE292" i="1"/>
  <c r="AB23" i="2"/>
  <c r="AH2" i="2"/>
  <c r="AG357" i="1"/>
  <c r="AG365" i="1"/>
  <c r="AG316" i="1"/>
  <c r="AG349" i="1"/>
  <c r="AG317" i="1"/>
  <c r="AE345" i="1"/>
  <c r="AB31" i="2" s="1"/>
  <c r="AB28" i="2" s="1"/>
  <c r="AF304" i="1"/>
  <c r="AG283" i="1"/>
  <c r="AG337" i="1"/>
  <c r="AG282" i="1"/>
  <c r="AF343" i="1"/>
  <c r="AF270" i="1"/>
  <c r="AF114" i="1"/>
  <c r="AG194" i="1"/>
  <c r="AG219" i="1"/>
  <c r="AG248" i="1"/>
  <c r="AG218" i="1"/>
  <c r="AG149" i="1"/>
  <c r="AG127" i="1"/>
  <c r="AG148" i="1"/>
  <c r="AG193" i="1"/>
  <c r="AG126" i="1"/>
  <c r="AG169" i="1"/>
  <c r="AG105" i="1"/>
  <c r="AG168" i="1"/>
  <c r="AG249" i="1"/>
  <c r="AG104" i="1"/>
  <c r="AH2" i="1"/>
  <c r="AG72" i="1"/>
  <c r="AG73" i="1"/>
  <c r="AG48" i="1"/>
  <c r="AG47" i="1"/>
  <c r="AF326" i="1" l="1"/>
  <c r="AC24" i="2"/>
  <c r="AF292" i="1"/>
  <c r="AC23" i="2"/>
  <c r="AH357" i="1"/>
  <c r="AH365" i="1"/>
  <c r="AH349" i="1"/>
  <c r="AH317" i="1"/>
  <c r="AH316" i="1"/>
  <c r="AF345" i="1"/>
  <c r="AC31" i="2" s="1"/>
  <c r="AC28" i="2" s="1"/>
  <c r="AG304" i="1"/>
  <c r="AH283" i="1"/>
  <c r="AH337" i="1"/>
  <c r="AH282" i="1"/>
  <c r="AG343" i="1"/>
  <c r="AG270" i="1"/>
  <c r="AG114" i="1"/>
  <c r="AH219" i="1"/>
  <c r="AH127" i="1"/>
  <c r="AH218" i="1"/>
  <c r="AH194" i="1"/>
  <c r="AH149" i="1"/>
  <c r="AH193" i="1"/>
  <c r="AH148" i="1"/>
  <c r="AH126" i="1"/>
  <c r="AH169" i="1"/>
  <c r="AH168" i="1"/>
  <c r="AH104" i="1"/>
  <c r="AH249" i="1"/>
  <c r="AH105" i="1"/>
  <c r="AH248" i="1"/>
  <c r="AI2" i="1"/>
  <c r="AH72" i="1"/>
  <c r="AH73" i="1"/>
  <c r="AH47" i="1"/>
  <c r="AH48" i="1"/>
  <c r="AG326" i="1" l="1"/>
  <c r="AG345" i="1" s="1"/>
  <c r="AD31" i="2" s="1"/>
  <c r="AD28" i="2" s="1"/>
  <c r="AD24" i="2"/>
  <c r="AG292" i="1"/>
  <c r="AD23" i="2"/>
  <c r="AI365" i="1"/>
  <c r="AI357" i="1"/>
  <c r="AI349" i="1"/>
  <c r="AI317" i="1"/>
  <c r="AI316" i="1"/>
  <c r="AH304" i="1"/>
  <c r="AI283" i="1"/>
  <c r="AI282" i="1"/>
  <c r="AI337" i="1"/>
  <c r="AH343" i="1"/>
  <c r="AH270" i="1"/>
  <c r="AI219" i="1"/>
  <c r="AI218" i="1"/>
  <c r="AI194" i="1"/>
  <c r="AI193" i="1"/>
  <c r="AI149" i="1"/>
  <c r="AI127" i="1"/>
  <c r="AI148" i="1"/>
  <c r="AI126" i="1"/>
  <c r="AI169" i="1"/>
  <c r="AI168" i="1"/>
  <c r="AI249" i="1"/>
  <c r="AI105" i="1"/>
  <c r="AI248" i="1"/>
  <c r="AI104" i="1"/>
  <c r="AJ2" i="1"/>
  <c r="AI72" i="1"/>
  <c r="AI73" i="1"/>
  <c r="AI47" i="1"/>
  <c r="AI48" i="1"/>
  <c r="AH326" i="1" l="1"/>
  <c r="AE24" i="2"/>
  <c r="AH292" i="1"/>
  <c r="AE23" i="2"/>
  <c r="AJ365" i="1"/>
  <c r="AJ357" i="1"/>
  <c r="AH345" i="1"/>
  <c r="AE31" i="2" s="1"/>
  <c r="AE28" i="2" s="1"/>
  <c r="AJ349" i="1"/>
  <c r="AJ317" i="1"/>
  <c r="AJ316" i="1"/>
  <c r="AI304" i="1"/>
  <c r="AJ283" i="1"/>
  <c r="AJ282" i="1"/>
  <c r="AJ337" i="1"/>
  <c r="AI343" i="1"/>
  <c r="AI270" i="1"/>
  <c r="AJ218" i="1"/>
  <c r="AJ194" i="1"/>
  <c r="AJ105" i="1"/>
  <c r="AJ149" i="1"/>
  <c r="AJ127" i="1"/>
  <c r="AJ193" i="1"/>
  <c r="AJ148" i="1"/>
  <c r="AJ126" i="1"/>
  <c r="AJ169" i="1"/>
  <c r="AJ168" i="1"/>
  <c r="AJ219" i="1"/>
  <c r="AJ249" i="1"/>
  <c r="AJ248" i="1"/>
  <c r="AJ104" i="1"/>
  <c r="AK2" i="1"/>
  <c r="AJ73" i="1"/>
  <c r="AJ72" i="1"/>
  <c r="AJ47" i="1"/>
  <c r="AJ48" i="1"/>
  <c r="AI326" i="1" l="1"/>
  <c r="AF24" i="2"/>
  <c r="AI292" i="1"/>
  <c r="AF23" i="2"/>
  <c r="AK365" i="1"/>
  <c r="N367" i="1" s="1"/>
  <c r="K32" i="3" s="1"/>
  <c r="AK357" i="1"/>
  <c r="AI345" i="1"/>
  <c r="AF31" i="2" s="1"/>
  <c r="AF28" i="2" s="1"/>
  <c r="Q367" i="1"/>
  <c r="N32" i="3" s="1"/>
  <c r="AK317" i="1"/>
  <c r="O322" i="1" s="1"/>
  <c r="AK316" i="1"/>
  <c r="N321" i="1" s="1"/>
  <c r="AK349" i="1"/>
  <c r="R351" i="1" s="1"/>
  <c r="O30" i="3" s="1"/>
  <c r="AJ304" i="1"/>
  <c r="AK283" i="1"/>
  <c r="P288" i="1" s="1"/>
  <c r="AK282" i="1"/>
  <c r="AK337" i="1"/>
  <c r="AJ343" i="1"/>
  <c r="AJ270" i="1"/>
  <c r="AK149" i="1"/>
  <c r="R154" i="1" s="1"/>
  <c r="AK127" i="1"/>
  <c r="N132" i="1" s="1"/>
  <c r="AK104" i="1"/>
  <c r="O109" i="1" s="1"/>
  <c r="AK218" i="1"/>
  <c r="AK193" i="1"/>
  <c r="N198" i="1" s="1"/>
  <c r="AK148" i="1"/>
  <c r="O153" i="1" s="1"/>
  <c r="AK126" i="1"/>
  <c r="N131" i="1" s="1"/>
  <c r="AK169" i="1"/>
  <c r="AK105" i="1"/>
  <c r="N110" i="1" s="1"/>
  <c r="AK168" i="1"/>
  <c r="AK249" i="1"/>
  <c r="N254" i="1" s="1"/>
  <c r="AK248" i="1"/>
  <c r="R253" i="1" s="1"/>
  <c r="AK219" i="1"/>
  <c r="Q224" i="1" s="1"/>
  <c r="AK194" i="1"/>
  <c r="O199" i="1" s="1"/>
  <c r="AK73" i="1"/>
  <c r="AK72" i="1"/>
  <c r="N77" i="1" s="1"/>
  <c r="AK47" i="1"/>
  <c r="AK48" i="1"/>
  <c r="R367" i="1" l="1"/>
  <c r="O32" i="3" s="1"/>
  <c r="AJ292" i="1"/>
  <c r="AG23" i="2"/>
  <c r="AJ326" i="1"/>
  <c r="AJ345" i="1" s="1"/>
  <c r="AG24" i="2"/>
  <c r="M367" i="1"/>
  <c r="J32" i="3" s="1"/>
  <c r="AK367" i="1"/>
  <c r="AH32" i="3" s="1"/>
  <c r="AJ367" i="1"/>
  <c r="AG32" i="3" s="1"/>
  <c r="AI367" i="1"/>
  <c r="AF32" i="3" s="1"/>
  <c r="AH367" i="1"/>
  <c r="AE32" i="3" s="1"/>
  <c r="AG367" i="1"/>
  <c r="AD32" i="3" s="1"/>
  <c r="AF367" i="1"/>
  <c r="AC32" i="3" s="1"/>
  <c r="AE367" i="1"/>
  <c r="AB32" i="3" s="1"/>
  <c r="AD367" i="1"/>
  <c r="AA32" i="3" s="1"/>
  <c r="AC367" i="1"/>
  <c r="Z32" i="3" s="1"/>
  <c r="AA367" i="1"/>
  <c r="X32" i="3" s="1"/>
  <c r="Y367" i="1"/>
  <c r="V32" i="3" s="1"/>
  <c r="AB367" i="1"/>
  <c r="Y32" i="3" s="1"/>
  <c r="X367" i="1"/>
  <c r="U32" i="3" s="1"/>
  <c r="W367" i="1"/>
  <c r="T32" i="3" s="1"/>
  <c r="Z367" i="1"/>
  <c r="W32" i="3" s="1"/>
  <c r="U367" i="1"/>
  <c r="R32" i="3" s="1"/>
  <c r="S367" i="1"/>
  <c r="P32" i="3" s="1"/>
  <c r="V367" i="1"/>
  <c r="S32" i="3" s="1"/>
  <c r="T367" i="1"/>
  <c r="Q32" i="3" s="1"/>
  <c r="P367" i="1"/>
  <c r="M32" i="3" s="1"/>
  <c r="O367" i="1"/>
  <c r="L32" i="3" s="1"/>
  <c r="Q351" i="1"/>
  <c r="N30" i="3" s="1"/>
  <c r="AH351" i="1"/>
  <c r="AE30" i="3" s="1"/>
  <c r="AD351" i="1"/>
  <c r="AA30" i="3" s="1"/>
  <c r="AE351" i="1"/>
  <c r="AB30" i="3" s="1"/>
  <c r="M322" i="1"/>
  <c r="X322" i="1"/>
  <c r="Y322" i="1"/>
  <c r="W322" i="1"/>
  <c r="Z322" i="1"/>
  <c r="T322" i="1"/>
  <c r="U322" i="1"/>
  <c r="V322" i="1"/>
  <c r="AA322" i="1"/>
  <c r="AD322" i="1"/>
  <c r="R322" i="1"/>
  <c r="AB322" i="1"/>
  <c r="R321" i="1"/>
  <c r="O321" i="1"/>
  <c r="O319" i="1" s="1"/>
  <c r="L25" i="3" s="1"/>
  <c r="AF322" i="1"/>
  <c r="P322" i="1"/>
  <c r="Q321" i="1"/>
  <c r="S322" i="1"/>
  <c r="AH322" i="1"/>
  <c r="AJ322" i="1"/>
  <c r="P321" i="1"/>
  <c r="AC322" i="1"/>
  <c r="N322" i="1"/>
  <c r="N319" i="1" s="1"/>
  <c r="K25" i="3" s="1"/>
  <c r="M321" i="1"/>
  <c r="AJ321" i="1"/>
  <c r="AK321" i="1"/>
  <c r="AG321" i="1"/>
  <c r="AI321" i="1"/>
  <c r="AE321" i="1"/>
  <c r="AH321" i="1"/>
  <c r="AF321" i="1"/>
  <c r="AB321" i="1"/>
  <c r="AC321" i="1"/>
  <c r="AD321" i="1"/>
  <c r="AA321" i="1"/>
  <c r="Z321" i="1"/>
  <c r="Y321" i="1"/>
  <c r="X321" i="1"/>
  <c r="V321" i="1"/>
  <c r="W321" i="1"/>
  <c r="U321" i="1"/>
  <c r="S321" i="1"/>
  <c r="AG351" i="1"/>
  <c r="AD30" i="3" s="1"/>
  <c r="AG322" i="1"/>
  <c r="AI351" i="1"/>
  <c r="AF30" i="3" s="1"/>
  <c r="AE322" i="1"/>
  <c r="AI322" i="1"/>
  <c r="Q322" i="1"/>
  <c r="M351" i="1"/>
  <c r="J30" i="3" s="1"/>
  <c r="Y351" i="1"/>
  <c r="V30" i="3" s="1"/>
  <c r="X351" i="1"/>
  <c r="U30" i="3" s="1"/>
  <c r="V351" i="1"/>
  <c r="S30" i="3" s="1"/>
  <c r="W351" i="1"/>
  <c r="T30" i="3" s="1"/>
  <c r="AA351" i="1"/>
  <c r="X30" i="3" s="1"/>
  <c r="Z351" i="1"/>
  <c r="W30" i="3" s="1"/>
  <c r="U351" i="1"/>
  <c r="R30" i="3" s="1"/>
  <c r="AC351" i="1"/>
  <c r="Z30" i="3" s="1"/>
  <c r="AB351" i="1"/>
  <c r="Y30" i="3" s="1"/>
  <c r="T351" i="1"/>
  <c r="Q30" i="3" s="1"/>
  <c r="S351" i="1"/>
  <c r="P30" i="3" s="1"/>
  <c r="AF351" i="1"/>
  <c r="AC30" i="3" s="1"/>
  <c r="P351" i="1"/>
  <c r="M30" i="3" s="1"/>
  <c r="O351" i="1"/>
  <c r="L30" i="3" s="1"/>
  <c r="N351" i="1"/>
  <c r="K30" i="3" s="1"/>
  <c r="T321" i="1"/>
  <c r="AK304" i="1"/>
  <c r="AK322" i="1"/>
  <c r="M339" i="1"/>
  <c r="J29" i="3" s="1"/>
  <c r="AG339" i="1"/>
  <c r="AD29" i="3" s="1"/>
  <c r="AF339" i="1"/>
  <c r="AC29" i="3" s="1"/>
  <c r="AH339" i="1"/>
  <c r="AE29" i="3" s="1"/>
  <c r="AI339" i="1"/>
  <c r="AF29" i="3" s="1"/>
  <c r="AE339" i="1"/>
  <c r="AB29" i="3" s="1"/>
  <c r="AK339" i="1"/>
  <c r="AH29" i="3" s="1"/>
  <c r="AJ339" i="1"/>
  <c r="AG29" i="3" s="1"/>
  <c r="AD339" i="1"/>
  <c r="AA29" i="3" s="1"/>
  <c r="AB339" i="1"/>
  <c r="Y29" i="3" s="1"/>
  <c r="AC339" i="1"/>
  <c r="Z29" i="3" s="1"/>
  <c r="AA339" i="1"/>
  <c r="X29" i="3" s="1"/>
  <c r="Z339" i="1"/>
  <c r="W29" i="3" s="1"/>
  <c r="Y339" i="1"/>
  <c r="V29" i="3" s="1"/>
  <c r="X339" i="1"/>
  <c r="U29" i="3" s="1"/>
  <c r="W339" i="1"/>
  <c r="T29" i="3" s="1"/>
  <c r="V339" i="1"/>
  <c r="S29" i="3" s="1"/>
  <c r="U339" i="1"/>
  <c r="R29" i="3" s="1"/>
  <c r="T339" i="1"/>
  <c r="Q29" i="3" s="1"/>
  <c r="S339" i="1"/>
  <c r="P29" i="3" s="1"/>
  <c r="R339" i="1"/>
  <c r="O29" i="3" s="1"/>
  <c r="P287" i="1"/>
  <c r="P285" i="1" s="1"/>
  <c r="M24" i="3" s="1"/>
  <c r="M287" i="1"/>
  <c r="O339" i="1"/>
  <c r="L29" i="3" s="1"/>
  <c r="Q339" i="1"/>
  <c r="N29" i="3" s="1"/>
  <c r="P339" i="1"/>
  <c r="M29" i="3" s="1"/>
  <c r="N339" i="1"/>
  <c r="K29" i="3" s="1"/>
  <c r="T132" i="1"/>
  <c r="S132" i="1"/>
  <c r="S159" i="1" s="1"/>
  <c r="R132" i="1"/>
  <c r="R159" i="1" s="1"/>
  <c r="M288" i="1"/>
  <c r="X288" i="1"/>
  <c r="W288" i="1"/>
  <c r="V288" i="1"/>
  <c r="Y288" i="1"/>
  <c r="U288" i="1"/>
  <c r="Z288" i="1"/>
  <c r="AA288" i="1"/>
  <c r="AC288" i="1"/>
  <c r="AB288" i="1"/>
  <c r="O288" i="1"/>
  <c r="AG288" i="1"/>
  <c r="S288" i="1"/>
  <c r="T288" i="1"/>
  <c r="AE288" i="1"/>
  <c r="AI288" i="1"/>
  <c r="Q287" i="1"/>
  <c r="AD288" i="1"/>
  <c r="AJ288" i="1"/>
  <c r="AH288" i="1"/>
  <c r="O287" i="1"/>
  <c r="Q288" i="1"/>
  <c r="AF288" i="1"/>
  <c r="R288" i="1"/>
  <c r="N288" i="1"/>
  <c r="AK287" i="1"/>
  <c r="AJ287" i="1"/>
  <c r="AI287" i="1"/>
  <c r="AE287" i="1"/>
  <c r="AH287" i="1"/>
  <c r="AG287" i="1"/>
  <c r="AF287" i="1"/>
  <c r="AD287" i="1"/>
  <c r="AC287" i="1"/>
  <c r="AA287" i="1"/>
  <c r="AB287" i="1"/>
  <c r="W287" i="1"/>
  <c r="V287" i="1"/>
  <c r="Y287" i="1"/>
  <c r="Z287" i="1"/>
  <c r="X287" i="1"/>
  <c r="T287" i="1"/>
  <c r="S287" i="1"/>
  <c r="R287" i="1"/>
  <c r="U287" i="1"/>
  <c r="N154" i="1"/>
  <c r="N159" i="1" s="1"/>
  <c r="P132" i="1"/>
  <c r="N287" i="1"/>
  <c r="S154" i="1"/>
  <c r="P154" i="1"/>
  <c r="O53" i="1"/>
  <c r="U154" i="1"/>
  <c r="N52" i="1"/>
  <c r="O110" i="1"/>
  <c r="O107" i="1" s="1"/>
  <c r="L19" i="3" s="1"/>
  <c r="N224" i="1"/>
  <c r="Q110" i="1"/>
  <c r="P254" i="1"/>
  <c r="O254" i="1"/>
  <c r="N129" i="1"/>
  <c r="M153" i="1"/>
  <c r="AI153" i="1"/>
  <c r="AK153" i="1"/>
  <c r="AJ153" i="1"/>
  <c r="AH153" i="1"/>
  <c r="AF153" i="1"/>
  <c r="AG153" i="1"/>
  <c r="AE153" i="1"/>
  <c r="AC153" i="1"/>
  <c r="AD153" i="1"/>
  <c r="AB153" i="1"/>
  <c r="AA153" i="1"/>
  <c r="X153" i="1"/>
  <c r="V153" i="1"/>
  <c r="Z153" i="1"/>
  <c r="Y153" i="1"/>
  <c r="W153" i="1"/>
  <c r="U153" i="1"/>
  <c r="R153" i="1"/>
  <c r="R151" i="1" s="1"/>
  <c r="P131" i="1"/>
  <c r="M198" i="1"/>
  <c r="AK198" i="1"/>
  <c r="AJ198" i="1"/>
  <c r="AI198" i="1"/>
  <c r="AH198" i="1"/>
  <c r="AG198" i="1"/>
  <c r="AE198" i="1"/>
  <c r="AF198" i="1"/>
  <c r="AA198" i="1"/>
  <c r="AB198" i="1"/>
  <c r="AD198" i="1"/>
  <c r="AC198" i="1"/>
  <c r="X198" i="1"/>
  <c r="Z198" i="1"/>
  <c r="W198" i="1"/>
  <c r="Y198" i="1"/>
  <c r="V198" i="1"/>
  <c r="U198" i="1"/>
  <c r="S198" i="1"/>
  <c r="T198" i="1"/>
  <c r="M223" i="1"/>
  <c r="AJ223" i="1"/>
  <c r="AK223" i="1"/>
  <c r="AF223" i="1"/>
  <c r="AI223" i="1"/>
  <c r="AH223" i="1"/>
  <c r="AG223" i="1"/>
  <c r="AE223" i="1"/>
  <c r="AC223" i="1"/>
  <c r="AA223" i="1"/>
  <c r="AD223" i="1"/>
  <c r="Y223" i="1"/>
  <c r="AB223" i="1"/>
  <c r="Z223" i="1"/>
  <c r="X223" i="1"/>
  <c r="W223" i="1"/>
  <c r="T223" i="1"/>
  <c r="V223" i="1"/>
  <c r="U223" i="1"/>
  <c r="R224" i="1"/>
  <c r="S223" i="1"/>
  <c r="M131" i="1"/>
  <c r="AK131" i="1"/>
  <c r="AJ131" i="1"/>
  <c r="AI131" i="1"/>
  <c r="AH131" i="1"/>
  <c r="AG131" i="1"/>
  <c r="AF131" i="1"/>
  <c r="AD131" i="1"/>
  <c r="AE131" i="1"/>
  <c r="Z131" i="1"/>
  <c r="AC131" i="1"/>
  <c r="AB131" i="1"/>
  <c r="AA131" i="1"/>
  <c r="X131" i="1"/>
  <c r="Y131" i="1"/>
  <c r="W131" i="1"/>
  <c r="U131" i="1"/>
  <c r="V131" i="1"/>
  <c r="T131" i="1"/>
  <c r="S131" i="1"/>
  <c r="Q131" i="1"/>
  <c r="O131" i="1"/>
  <c r="M109" i="1"/>
  <c r="AJ109" i="1"/>
  <c r="AI109" i="1"/>
  <c r="AK109" i="1"/>
  <c r="AF109" i="1"/>
  <c r="AH109" i="1"/>
  <c r="AE109" i="1"/>
  <c r="AG109" i="1"/>
  <c r="AC109" i="1"/>
  <c r="AB109" i="1"/>
  <c r="AD109" i="1"/>
  <c r="AA109" i="1"/>
  <c r="Y109" i="1"/>
  <c r="Z109" i="1"/>
  <c r="X109" i="1"/>
  <c r="W109" i="1"/>
  <c r="S109" i="1"/>
  <c r="U109" i="1"/>
  <c r="T109" i="1"/>
  <c r="V109" i="1"/>
  <c r="Q109" i="1"/>
  <c r="R109" i="1"/>
  <c r="P153" i="1"/>
  <c r="R254" i="1"/>
  <c r="R251" i="1" s="1"/>
  <c r="O23" i="3" s="1"/>
  <c r="P223" i="1"/>
  <c r="M199" i="1"/>
  <c r="AJ199" i="1"/>
  <c r="AK199" i="1"/>
  <c r="AH199" i="1"/>
  <c r="AI199" i="1"/>
  <c r="AF199" i="1"/>
  <c r="AG199" i="1"/>
  <c r="AC199" i="1"/>
  <c r="AB199" i="1"/>
  <c r="AE199" i="1"/>
  <c r="Y199" i="1"/>
  <c r="AD199" i="1"/>
  <c r="AA199" i="1"/>
  <c r="Z199" i="1"/>
  <c r="X199" i="1"/>
  <c r="W199" i="1"/>
  <c r="T199" i="1"/>
  <c r="V199" i="1"/>
  <c r="U199" i="1"/>
  <c r="M132" i="1"/>
  <c r="AJ132" i="1"/>
  <c r="AK132" i="1"/>
  <c r="AH132" i="1"/>
  <c r="AI132" i="1"/>
  <c r="AF132" i="1"/>
  <c r="AE132" i="1"/>
  <c r="AG132" i="1"/>
  <c r="AD132" i="1"/>
  <c r="AC132" i="1"/>
  <c r="AB132" i="1"/>
  <c r="Z132" i="1"/>
  <c r="AA132" i="1"/>
  <c r="Y132" i="1"/>
  <c r="W132" i="1"/>
  <c r="X132" i="1"/>
  <c r="V132" i="1"/>
  <c r="U132" i="1"/>
  <c r="Q132" i="1"/>
  <c r="O132" i="1"/>
  <c r="S153" i="1"/>
  <c r="O223" i="1"/>
  <c r="R223" i="1"/>
  <c r="R131" i="1"/>
  <c r="O198" i="1"/>
  <c r="O196" i="1" s="1"/>
  <c r="L21" i="3" s="1"/>
  <c r="M154" i="1"/>
  <c r="AK154" i="1"/>
  <c r="AJ154" i="1"/>
  <c r="AH154" i="1"/>
  <c r="AF154" i="1"/>
  <c r="AI154" i="1"/>
  <c r="AG154" i="1"/>
  <c r="AD154" i="1"/>
  <c r="AE154" i="1"/>
  <c r="AC154" i="1"/>
  <c r="AA154" i="1"/>
  <c r="AB154" i="1"/>
  <c r="Y154" i="1"/>
  <c r="Z154" i="1"/>
  <c r="X154" i="1"/>
  <c r="W154" i="1"/>
  <c r="V154" i="1"/>
  <c r="T154" i="1"/>
  <c r="O154" i="1"/>
  <c r="O151" i="1" s="1"/>
  <c r="Q154" i="1"/>
  <c r="T153" i="1"/>
  <c r="N223" i="1"/>
  <c r="M253" i="1"/>
  <c r="AI253" i="1"/>
  <c r="AK253" i="1"/>
  <c r="AJ253" i="1"/>
  <c r="AH253" i="1"/>
  <c r="AF253" i="1"/>
  <c r="AE253" i="1"/>
  <c r="AG253" i="1"/>
  <c r="AC253" i="1"/>
  <c r="AB253" i="1"/>
  <c r="AD253" i="1"/>
  <c r="X253" i="1"/>
  <c r="AA253" i="1"/>
  <c r="Y253" i="1"/>
  <c r="Z253" i="1"/>
  <c r="V253" i="1"/>
  <c r="U253" i="1"/>
  <c r="W253" i="1"/>
  <c r="S253" i="1"/>
  <c r="O253" i="1"/>
  <c r="N153" i="1"/>
  <c r="P109" i="1"/>
  <c r="Q253" i="1"/>
  <c r="M254" i="1"/>
  <c r="AK254" i="1"/>
  <c r="AJ254" i="1"/>
  <c r="AH254" i="1"/>
  <c r="AI254" i="1"/>
  <c r="AF254" i="1"/>
  <c r="AD254" i="1"/>
  <c r="AG254" i="1"/>
  <c r="AE254" i="1"/>
  <c r="AC254" i="1"/>
  <c r="Z254" i="1"/>
  <c r="AB254" i="1"/>
  <c r="AA254" i="1"/>
  <c r="Y254" i="1"/>
  <c r="X254" i="1"/>
  <c r="U254" i="1"/>
  <c r="W254" i="1"/>
  <c r="V254" i="1"/>
  <c r="S254" i="1"/>
  <c r="T254" i="1"/>
  <c r="N253" i="1"/>
  <c r="N251" i="1" s="1"/>
  <c r="K23" i="3" s="1"/>
  <c r="Q199" i="1"/>
  <c r="N109" i="1"/>
  <c r="N107" i="1" s="1"/>
  <c r="K19" i="3" s="1"/>
  <c r="S199" i="1"/>
  <c r="Q198" i="1"/>
  <c r="R199" i="1"/>
  <c r="T253" i="1"/>
  <c r="M224" i="1"/>
  <c r="AK224" i="1"/>
  <c r="AI224" i="1"/>
  <c r="AJ224" i="1"/>
  <c r="AH224" i="1"/>
  <c r="AG224" i="1"/>
  <c r="AF224" i="1"/>
  <c r="AE224" i="1"/>
  <c r="AD224" i="1"/>
  <c r="AC224" i="1"/>
  <c r="AB224" i="1"/>
  <c r="AA224" i="1"/>
  <c r="W224" i="1"/>
  <c r="Y224" i="1"/>
  <c r="Z224" i="1"/>
  <c r="U224" i="1"/>
  <c r="X224" i="1"/>
  <c r="V224" i="1"/>
  <c r="T224" i="1"/>
  <c r="S224" i="1"/>
  <c r="Q223" i="1"/>
  <c r="Q221" i="1" s="1"/>
  <c r="N22" i="3" s="1"/>
  <c r="M110" i="1"/>
  <c r="AK110" i="1"/>
  <c r="AJ110" i="1"/>
  <c r="AG110" i="1"/>
  <c r="AI110" i="1"/>
  <c r="AE110" i="1"/>
  <c r="AH110" i="1"/>
  <c r="AF110" i="1"/>
  <c r="AB110" i="1"/>
  <c r="AC110" i="1"/>
  <c r="AD110" i="1"/>
  <c r="Z110" i="1"/>
  <c r="AA110" i="1"/>
  <c r="X110" i="1"/>
  <c r="W110" i="1"/>
  <c r="Y110" i="1"/>
  <c r="T110" i="1"/>
  <c r="V110" i="1"/>
  <c r="U110" i="1"/>
  <c r="R110" i="1"/>
  <c r="S110" i="1"/>
  <c r="P198" i="1"/>
  <c r="O224" i="1"/>
  <c r="P199" i="1"/>
  <c r="Q254" i="1"/>
  <c r="P253" i="1"/>
  <c r="P251" i="1" s="1"/>
  <c r="M23" i="3" s="1"/>
  <c r="Q153" i="1"/>
  <c r="R198" i="1"/>
  <c r="P224" i="1"/>
  <c r="N199" i="1"/>
  <c r="N196" i="1" s="1"/>
  <c r="K21" i="3" s="1"/>
  <c r="P110" i="1"/>
  <c r="O77" i="1"/>
  <c r="P53" i="1"/>
  <c r="P77" i="1"/>
  <c r="M78" i="1"/>
  <c r="AK78" i="1"/>
  <c r="AJ78" i="1"/>
  <c r="AI78" i="1"/>
  <c r="AH78" i="1"/>
  <c r="AF78" i="1"/>
  <c r="AG78" i="1"/>
  <c r="AE78" i="1"/>
  <c r="AD78" i="1"/>
  <c r="AC78" i="1"/>
  <c r="AB78" i="1"/>
  <c r="AA78" i="1"/>
  <c r="Z78" i="1"/>
  <c r="X78" i="1"/>
  <c r="Y78" i="1"/>
  <c r="W78" i="1"/>
  <c r="V78" i="1"/>
  <c r="U78" i="1"/>
  <c r="T78" i="1"/>
  <c r="R78" i="1"/>
  <c r="S78" i="1"/>
  <c r="Q78" i="1"/>
  <c r="O78" i="1"/>
  <c r="N78" i="1"/>
  <c r="N75" i="1" s="1"/>
  <c r="K15" i="3" s="1"/>
  <c r="M53" i="1"/>
  <c r="AK53" i="1"/>
  <c r="AJ53" i="1"/>
  <c r="AH53" i="1"/>
  <c r="AI53" i="1"/>
  <c r="AG53" i="1"/>
  <c r="AF53" i="1"/>
  <c r="AD53" i="1"/>
  <c r="AE53" i="1"/>
  <c r="AB53" i="1"/>
  <c r="AC53" i="1"/>
  <c r="AA53" i="1"/>
  <c r="Y53" i="1"/>
  <c r="Z53" i="1"/>
  <c r="W53" i="1"/>
  <c r="X53" i="1"/>
  <c r="V53" i="1"/>
  <c r="U53" i="1"/>
  <c r="S53" i="1"/>
  <c r="T53" i="1"/>
  <c r="Q53" i="1"/>
  <c r="R53" i="1"/>
  <c r="N53" i="1"/>
  <c r="M52" i="1"/>
  <c r="AJ52" i="1"/>
  <c r="AK52" i="1"/>
  <c r="AI52" i="1"/>
  <c r="AH52" i="1"/>
  <c r="AG52" i="1"/>
  <c r="AF52" i="1"/>
  <c r="AE52" i="1"/>
  <c r="AC52" i="1"/>
  <c r="AD52" i="1"/>
  <c r="AB52" i="1"/>
  <c r="Z52" i="1"/>
  <c r="AA52" i="1"/>
  <c r="Y52" i="1"/>
  <c r="Y50" i="1" s="1"/>
  <c r="V10" i="3" s="1"/>
  <c r="X52" i="1"/>
  <c r="W52" i="1"/>
  <c r="W50" i="1" s="1"/>
  <c r="T10" i="3" s="1"/>
  <c r="V52" i="1"/>
  <c r="T52" i="1"/>
  <c r="U52" i="1"/>
  <c r="S52" i="1"/>
  <c r="R52" i="1"/>
  <c r="Q52" i="1"/>
  <c r="P52" i="1"/>
  <c r="P78" i="1"/>
  <c r="M77" i="1"/>
  <c r="AK77" i="1"/>
  <c r="AJ77" i="1"/>
  <c r="AI77" i="1"/>
  <c r="AG77" i="1"/>
  <c r="AH77" i="1"/>
  <c r="AH75" i="1" s="1"/>
  <c r="AE15" i="3" s="1"/>
  <c r="AF77" i="1"/>
  <c r="AF75" i="1" s="1"/>
  <c r="AC15" i="3" s="1"/>
  <c r="AD77" i="1"/>
  <c r="AE77" i="1"/>
  <c r="AC77" i="1"/>
  <c r="AB77" i="1"/>
  <c r="AA77" i="1"/>
  <c r="Z77" i="1"/>
  <c r="Y77" i="1"/>
  <c r="W77" i="1"/>
  <c r="X77" i="1"/>
  <c r="V77" i="1"/>
  <c r="U77" i="1"/>
  <c r="S77" i="1"/>
  <c r="T77" i="1"/>
  <c r="T75" i="1" s="1"/>
  <c r="Q15" i="3" s="1"/>
  <c r="R77" i="1"/>
  <c r="Q77" i="1"/>
  <c r="O52" i="1"/>
  <c r="AG31" i="2" l="1"/>
  <c r="AG28" i="2" s="1"/>
  <c r="AJ351" i="1"/>
  <c r="AG30" i="3" s="1"/>
  <c r="AK50" i="1"/>
  <c r="AH10" i="3" s="1"/>
  <c r="AK319" i="1"/>
  <c r="AH25" i="3" s="1"/>
  <c r="AK326" i="1"/>
  <c r="AH24" i="2"/>
  <c r="AG319" i="1"/>
  <c r="AD25" i="3" s="1"/>
  <c r="AJ319" i="1"/>
  <c r="AG25" i="3" s="1"/>
  <c r="AH319" i="1"/>
  <c r="AE25" i="3" s="1"/>
  <c r="Y359" i="1"/>
  <c r="V31" i="3" s="1"/>
  <c r="V27" i="3" s="1"/>
  <c r="M359" i="1"/>
  <c r="J31" i="3" s="1"/>
  <c r="J27" i="3" s="1"/>
  <c r="AJ359" i="1"/>
  <c r="AG31" i="3" s="1"/>
  <c r="X359" i="1"/>
  <c r="U31" i="3" s="1"/>
  <c r="U27" i="3" s="1"/>
  <c r="AA359" i="1"/>
  <c r="X31" i="3" s="1"/>
  <c r="X27" i="3" s="1"/>
  <c r="O359" i="1"/>
  <c r="L31" i="3" s="1"/>
  <c r="L27" i="3" s="1"/>
  <c r="AI359" i="1"/>
  <c r="AF31" i="3" s="1"/>
  <c r="AF27" i="3" s="1"/>
  <c r="W359" i="1"/>
  <c r="T31" i="3" s="1"/>
  <c r="T27" i="3" s="1"/>
  <c r="Z359" i="1"/>
  <c r="W31" i="3" s="1"/>
  <c r="W27" i="3" s="1"/>
  <c r="N359" i="1"/>
  <c r="K31" i="3" s="1"/>
  <c r="K27" i="3" s="1"/>
  <c r="AH359" i="1"/>
  <c r="AE31" i="3" s="1"/>
  <c r="AE27" i="3" s="1"/>
  <c r="V359" i="1"/>
  <c r="S31" i="3" s="1"/>
  <c r="S27" i="3" s="1"/>
  <c r="AG359" i="1"/>
  <c r="AD31" i="3" s="1"/>
  <c r="AD27" i="3" s="1"/>
  <c r="U359" i="1"/>
  <c r="R31" i="3" s="1"/>
  <c r="R27" i="3" s="1"/>
  <c r="AB359" i="1"/>
  <c r="Y31" i="3" s="1"/>
  <c r="Y27" i="3" s="1"/>
  <c r="AF359" i="1"/>
  <c r="AC31" i="3" s="1"/>
  <c r="AC27" i="3" s="1"/>
  <c r="T359" i="1"/>
  <c r="Q31" i="3" s="1"/>
  <c r="Q27" i="3" s="1"/>
  <c r="AE359" i="1"/>
  <c r="AB31" i="3" s="1"/>
  <c r="AB27" i="3" s="1"/>
  <c r="S359" i="1"/>
  <c r="P31" i="3" s="1"/>
  <c r="P27" i="3" s="1"/>
  <c r="Q359" i="1"/>
  <c r="N31" i="3" s="1"/>
  <c r="N27" i="3" s="1"/>
  <c r="AD359" i="1"/>
  <c r="AA31" i="3" s="1"/>
  <c r="AA27" i="3" s="1"/>
  <c r="R359" i="1"/>
  <c r="O31" i="3" s="1"/>
  <c r="O27" i="3" s="1"/>
  <c r="AC359" i="1"/>
  <c r="Z31" i="3" s="1"/>
  <c r="Z27" i="3" s="1"/>
  <c r="P359" i="1"/>
  <c r="M31" i="3" s="1"/>
  <c r="M27" i="3" s="1"/>
  <c r="Q319" i="1"/>
  <c r="N25" i="3" s="1"/>
  <c r="V319" i="1"/>
  <c r="S25" i="3" s="1"/>
  <c r="AB319" i="1"/>
  <c r="Y25" i="3" s="1"/>
  <c r="AI319" i="1"/>
  <c r="AF25" i="3" s="1"/>
  <c r="R319" i="1"/>
  <c r="O25" i="3" s="1"/>
  <c r="AE319" i="1"/>
  <c r="AB25" i="3" s="1"/>
  <c r="AC319" i="1"/>
  <c r="Z25" i="3" s="1"/>
  <c r="AD319" i="1"/>
  <c r="AA25" i="3" s="1"/>
  <c r="AA319" i="1"/>
  <c r="X25" i="3" s="1"/>
  <c r="S319" i="1"/>
  <c r="P25" i="3" s="1"/>
  <c r="U319" i="1"/>
  <c r="R25" i="3" s="1"/>
  <c r="T319" i="1"/>
  <c r="Q25" i="3" s="1"/>
  <c r="P319" i="1"/>
  <c r="M25" i="3" s="1"/>
  <c r="Z319" i="1"/>
  <c r="W25" i="3" s="1"/>
  <c r="W319" i="1"/>
  <c r="T25" i="3" s="1"/>
  <c r="AF319" i="1"/>
  <c r="AC25" i="3" s="1"/>
  <c r="Y319" i="1"/>
  <c r="V25" i="3" s="1"/>
  <c r="X319" i="1"/>
  <c r="U25" i="3" s="1"/>
  <c r="M319" i="1"/>
  <c r="J25" i="3" s="1"/>
  <c r="AA50" i="1"/>
  <c r="X10" i="3" s="1"/>
  <c r="N151" i="1"/>
  <c r="O251" i="1"/>
  <c r="L23" i="3" s="1"/>
  <c r="T159" i="1"/>
  <c r="O50" i="1"/>
  <c r="L10" i="3" s="1"/>
  <c r="P151" i="1"/>
  <c r="AJ285" i="1"/>
  <c r="AG24" i="3" s="1"/>
  <c r="AA285" i="1"/>
  <c r="X24" i="3" s="1"/>
  <c r="N50" i="1"/>
  <c r="K10" i="3" s="1"/>
  <c r="U159" i="1"/>
  <c r="Q151" i="1"/>
  <c r="P159" i="1"/>
  <c r="AH285" i="1"/>
  <c r="AE24" i="3" s="1"/>
  <c r="AF285" i="1"/>
  <c r="AC24" i="3" s="1"/>
  <c r="O285" i="1"/>
  <c r="L24" i="3" s="1"/>
  <c r="Q285" i="1"/>
  <c r="N24" i="3" s="1"/>
  <c r="AB285" i="1"/>
  <c r="Y24" i="3" s="1"/>
  <c r="U151" i="1"/>
  <c r="R285" i="1"/>
  <c r="O24" i="3" s="1"/>
  <c r="AG285" i="1"/>
  <c r="AD24" i="3" s="1"/>
  <c r="S151" i="1"/>
  <c r="AC285" i="1"/>
  <c r="Z24" i="3" s="1"/>
  <c r="Z285" i="1"/>
  <c r="W24" i="3" s="1"/>
  <c r="AD285" i="1"/>
  <c r="AA24" i="3" s="1"/>
  <c r="U285" i="1"/>
  <c r="R24" i="3" s="1"/>
  <c r="Y285" i="1"/>
  <c r="V24" i="3" s="1"/>
  <c r="AI285" i="1"/>
  <c r="AF24" i="3" s="1"/>
  <c r="V285" i="1"/>
  <c r="S24" i="3" s="1"/>
  <c r="AE285" i="1"/>
  <c r="AB24" i="3" s="1"/>
  <c r="W285" i="1"/>
  <c r="T24" i="3" s="1"/>
  <c r="T285" i="1"/>
  <c r="Q24" i="3" s="1"/>
  <c r="X285" i="1"/>
  <c r="U24" i="3" s="1"/>
  <c r="N285" i="1"/>
  <c r="K24" i="3" s="1"/>
  <c r="S285" i="1"/>
  <c r="P24" i="3" s="1"/>
  <c r="M285" i="1"/>
  <c r="J24" i="3" s="1"/>
  <c r="X75" i="1"/>
  <c r="U15" i="3" s="1"/>
  <c r="AK75" i="1"/>
  <c r="AH15" i="3" s="1"/>
  <c r="N221" i="1"/>
  <c r="K22" i="3" s="1"/>
  <c r="Q107" i="1"/>
  <c r="N19" i="3" s="1"/>
  <c r="AA75" i="1"/>
  <c r="X15" i="3" s="1"/>
  <c r="P75" i="1"/>
  <c r="M15" i="3" s="1"/>
  <c r="AI75" i="1"/>
  <c r="AF15" i="3" s="1"/>
  <c r="AJ75" i="1"/>
  <c r="AG15" i="3" s="1"/>
  <c r="Y75" i="1"/>
  <c r="V15" i="3" s="1"/>
  <c r="AK343" i="1"/>
  <c r="R221" i="1"/>
  <c r="O22" i="3" s="1"/>
  <c r="AK270" i="1"/>
  <c r="AK288" i="1"/>
  <c r="AK285" i="1" s="1"/>
  <c r="AH24" i="3" s="1"/>
  <c r="AC50" i="1"/>
  <c r="Z10" i="3" s="1"/>
  <c r="AB75" i="1"/>
  <c r="Y15" i="3" s="1"/>
  <c r="AA251" i="1"/>
  <c r="X23" i="3" s="1"/>
  <c r="M251" i="1"/>
  <c r="J23" i="3" s="1"/>
  <c r="P196" i="1"/>
  <c r="M21" i="3" s="1"/>
  <c r="AC75" i="1"/>
  <c r="Z15" i="3" s="1"/>
  <c r="R50" i="1"/>
  <c r="O10" i="3" s="1"/>
  <c r="AJ251" i="1"/>
  <c r="AG23" i="3" s="1"/>
  <c r="Q75" i="1"/>
  <c r="N15" i="3" s="1"/>
  <c r="AA159" i="1"/>
  <c r="AC107" i="1"/>
  <c r="Z19" i="3" s="1"/>
  <c r="W221" i="1"/>
  <c r="T22" i="3" s="1"/>
  <c r="AF221" i="1"/>
  <c r="AC22" i="3" s="1"/>
  <c r="AC196" i="1"/>
  <c r="Z21" i="3" s="1"/>
  <c r="AC151" i="1"/>
  <c r="X251" i="1"/>
  <c r="U23" i="3" s="1"/>
  <c r="Z159" i="1"/>
  <c r="T151" i="1"/>
  <c r="O75" i="1"/>
  <c r="L15" i="3" s="1"/>
  <c r="W251" i="1"/>
  <c r="T23" i="3" s="1"/>
  <c r="AF251" i="1"/>
  <c r="AC23" i="3" s="1"/>
  <c r="Z75" i="1"/>
  <c r="W15" i="3" s="1"/>
  <c r="M75" i="1"/>
  <c r="J15" i="3" s="1"/>
  <c r="M50" i="1"/>
  <c r="Q196" i="1"/>
  <c r="N21" i="3" s="1"/>
  <c r="R158" i="1"/>
  <c r="R156" i="1" s="1"/>
  <c r="R129" i="1"/>
  <c r="V107" i="1"/>
  <c r="S19" i="3" s="1"/>
  <c r="AG107" i="1"/>
  <c r="AD19" i="3" s="1"/>
  <c r="V158" i="1"/>
  <c r="V129" i="1"/>
  <c r="AG129" i="1"/>
  <c r="AG158" i="1"/>
  <c r="X221" i="1"/>
  <c r="U22" i="3" s="1"/>
  <c r="AK221" i="1"/>
  <c r="AH22" i="3" s="1"/>
  <c r="AD196" i="1"/>
  <c r="AA21" i="3" s="1"/>
  <c r="P158" i="1"/>
  <c r="P129" i="1"/>
  <c r="AE151" i="1"/>
  <c r="Q251" i="1"/>
  <c r="N23" i="3" s="1"/>
  <c r="AD251" i="1"/>
  <c r="AA23" i="3" s="1"/>
  <c r="AB159" i="1"/>
  <c r="T107" i="1"/>
  <c r="Q19" i="3" s="1"/>
  <c r="AE107" i="1"/>
  <c r="AB19" i="3" s="1"/>
  <c r="U158" i="1"/>
  <c r="U129" i="1"/>
  <c r="AH129" i="1"/>
  <c r="AH158" i="1"/>
  <c r="Z221" i="1"/>
  <c r="W22" i="3" s="1"/>
  <c r="AJ221" i="1"/>
  <c r="AG22" i="3" s="1"/>
  <c r="AB196" i="1"/>
  <c r="Y21" i="3" s="1"/>
  <c r="AG151" i="1"/>
  <c r="P107" i="1"/>
  <c r="M19" i="3" s="1"/>
  <c r="AB251" i="1"/>
  <c r="Y23" i="3" s="1"/>
  <c r="O221" i="1"/>
  <c r="L22" i="3" s="1"/>
  <c r="AC159" i="1"/>
  <c r="U107" i="1"/>
  <c r="R19" i="3" s="1"/>
  <c r="AH107" i="1"/>
  <c r="AE19" i="3" s="1"/>
  <c r="W158" i="1"/>
  <c r="W129" i="1"/>
  <c r="AI129" i="1"/>
  <c r="AI158" i="1"/>
  <c r="AB221" i="1"/>
  <c r="Y22" i="3" s="1"/>
  <c r="M221" i="1"/>
  <c r="J22" i="3" s="1"/>
  <c r="AA196" i="1"/>
  <c r="X21" i="3" s="1"/>
  <c r="AF151" i="1"/>
  <c r="AC251" i="1"/>
  <c r="Z23" i="3" s="1"/>
  <c r="AD159" i="1"/>
  <c r="S107" i="1"/>
  <c r="P19" i="3" s="1"/>
  <c r="AF107" i="1"/>
  <c r="AC19" i="3" s="1"/>
  <c r="Y158" i="1"/>
  <c r="Y129" i="1"/>
  <c r="AJ129" i="1"/>
  <c r="AJ158" i="1"/>
  <c r="Y221" i="1"/>
  <c r="V22" i="3" s="1"/>
  <c r="T196" i="1"/>
  <c r="Q21" i="3" s="1"/>
  <c r="AF196" i="1"/>
  <c r="AC21" i="3" s="1"/>
  <c r="W151" i="1"/>
  <c r="AH151" i="1"/>
  <c r="AG251" i="1"/>
  <c r="AD23" i="3" s="1"/>
  <c r="O159" i="1"/>
  <c r="AG159" i="1"/>
  <c r="W107" i="1"/>
  <c r="T19" i="3" s="1"/>
  <c r="AK107" i="1"/>
  <c r="AH19" i="3" s="1"/>
  <c r="X158" i="1"/>
  <c r="X129" i="1"/>
  <c r="AK158" i="1"/>
  <c r="AK129" i="1"/>
  <c r="AD221" i="1"/>
  <c r="AA22" i="3" s="1"/>
  <c r="S196" i="1"/>
  <c r="P21" i="3" s="1"/>
  <c r="AE196" i="1"/>
  <c r="AB21" i="3" s="1"/>
  <c r="Y151" i="1"/>
  <c r="AJ151" i="1"/>
  <c r="S251" i="1"/>
  <c r="P23" i="3" s="1"/>
  <c r="AE251" i="1"/>
  <c r="AB23" i="3" s="1"/>
  <c r="Q159" i="1"/>
  <c r="AE159" i="1"/>
  <c r="X107" i="1"/>
  <c r="U19" i="3" s="1"/>
  <c r="AI107" i="1"/>
  <c r="AF19" i="3" s="1"/>
  <c r="AA129" i="1"/>
  <c r="AA158" i="1"/>
  <c r="M129" i="1"/>
  <c r="AA221" i="1"/>
  <c r="X22" i="3" s="1"/>
  <c r="U196" i="1"/>
  <c r="R21" i="3" s="1"/>
  <c r="AG196" i="1"/>
  <c r="AD21" i="3" s="1"/>
  <c r="Z151" i="1"/>
  <c r="AK151" i="1"/>
  <c r="R196" i="1"/>
  <c r="O21" i="3" s="1"/>
  <c r="AF159" i="1"/>
  <c r="Z107" i="1"/>
  <c r="W19" i="3" s="1"/>
  <c r="AJ107" i="1"/>
  <c r="AG19" i="3" s="1"/>
  <c r="AB129" i="1"/>
  <c r="AB158" i="1"/>
  <c r="S221" i="1"/>
  <c r="P22" i="3" s="1"/>
  <c r="AC221" i="1"/>
  <c r="Z22" i="3" s="1"/>
  <c r="V196" i="1"/>
  <c r="S21" i="3" s="1"/>
  <c r="AH196" i="1"/>
  <c r="AE21" i="3" s="1"/>
  <c r="V151" i="1"/>
  <c r="AI151" i="1"/>
  <c r="U251" i="1"/>
  <c r="R23" i="3" s="1"/>
  <c r="AH251" i="1"/>
  <c r="AE23" i="3" s="1"/>
  <c r="V159" i="1"/>
  <c r="AI159" i="1"/>
  <c r="P221" i="1"/>
  <c r="M22" i="3" s="1"/>
  <c r="Y107" i="1"/>
  <c r="V19" i="3" s="1"/>
  <c r="M107" i="1"/>
  <c r="J19" i="3" s="1"/>
  <c r="AC158" i="1"/>
  <c r="AC129" i="1"/>
  <c r="AE221" i="1"/>
  <c r="AB22" i="3" s="1"/>
  <c r="Y196" i="1"/>
  <c r="V21" i="3" s="1"/>
  <c r="AI196" i="1"/>
  <c r="AF21" i="3" s="1"/>
  <c r="X151" i="1"/>
  <c r="M158" i="1"/>
  <c r="M151" i="1"/>
  <c r="J14" i="4" s="1"/>
  <c r="T129" i="1"/>
  <c r="T158" i="1"/>
  <c r="V251" i="1"/>
  <c r="S23" i="3" s="1"/>
  <c r="X159" i="1"/>
  <c r="AH159" i="1"/>
  <c r="AA107" i="1"/>
  <c r="X19" i="3" s="1"/>
  <c r="O129" i="1"/>
  <c r="O158" i="1"/>
  <c r="Z158" i="1"/>
  <c r="Z129" i="1"/>
  <c r="U221" i="1"/>
  <c r="R22" i="3" s="1"/>
  <c r="AG221" i="1"/>
  <c r="AD22" i="3" s="1"/>
  <c r="W196" i="1"/>
  <c r="T21" i="3" s="1"/>
  <c r="AJ196" i="1"/>
  <c r="AG21" i="3" s="1"/>
  <c r="AA151" i="1"/>
  <c r="AF129" i="1"/>
  <c r="AF158" i="1"/>
  <c r="Z251" i="1"/>
  <c r="W23" i="3" s="1"/>
  <c r="AK251" i="1"/>
  <c r="AH23" i="3" s="1"/>
  <c r="W159" i="1"/>
  <c r="AK159" i="1"/>
  <c r="AD107" i="1"/>
  <c r="AA19" i="3" s="1"/>
  <c r="Q158" i="1"/>
  <c r="Q129" i="1"/>
  <c r="AE158" i="1"/>
  <c r="AE129" i="1"/>
  <c r="V221" i="1"/>
  <c r="S22" i="3" s="1"/>
  <c r="AH221" i="1"/>
  <c r="AE22" i="3" s="1"/>
  <c r="Z196" i="1"/>
  <c r="W21" i="3" s="1"/>
  <c r="AK196" i="1"/>
  <c r="AH21" i="3" s="1"/>
  <c r="AB151" i="1"/>
  <c r="N158" i="1"/>
  <c r="N156" i="1" s="1"/>
  <c r="T251" i="1"/>
  <c r="Q23" i="3" s="1"/>
  <c r="Y251" i="1"/>
  <c r="V23" i="3" s="1"/>
  <c r="AI251" i="1"/>
  <c r="AF23" i="3" s="1"/>
  <c r="M159" i="1"/>
  <c r="Y159" i="1"/>
  <c r="AJ159" i="1"/>
  <c r="R107" i="1"/>
  <c r="O19" i="3" s="1"/>
  <c r="AB107" i="1"/>
  <c r="Y19" i="3" s="1"/>
  <c r="S129" i="1"/>
  <c r="S158" i="1"/>
  <c r="S156" i="1" s="1"/>
  <c r="AD158" i="1"/>
  <c r="AD129" i="1"/>
  <c r="T221" i="1"/>
  <c r="Q22" i="3" s="1"/>
  <c r="AI221" i="1"/>
  <c r="AF22" i="3" s="1"/>
  <c r="X196" i="1"/>
  <c r="U21" i="3" s="1"/>
  <c r="M196" i="1"/>
  <c r="J21" i="3" s="1"/>
  <c r="AD151" i="1"/>
  <c r="W75" i="1"/>
  <c r="T15" i="3" s="1"/>
  <c r="X50" i="1"/>
  <c r="U10" i="3" s="1"/>
  <c r="V75" i="1"/>
  <c r="S15" i="3" s="1"/>
  <c r="AG50" i="1"/>
  <c r="AD10" i="3" s="1"/>
  <c r="U75" i="1"/>
  <c r="R15" i="3" s="1"/>
  <c r="AJ50" i="1"/>
  <c r="AG10" i="3" s="1"/>
  <c r="AE50" i="1"/>
  <c r="AB10" i="3" s="1"/>
  <c r="AD75" i="1"/>
  <c r="AA15" i="3" s="1"/>
  <c r="AH50" i="1"/>
  <c r="AE10" i="3" s="1"/>
  <c r="U50" i="1"/>
  <c r="R10" i="3" s="1"/>
  <c r="AI50" i="1"/>
  <c r="AF10" i="3" s="1"/>
  <c r="AG75" i="1"/>
  <c r="AD15" i="3" s="1"/>
  <c r="V50" i="1"/>
  <c r="S10" i="3" s="1"/>
  <c r="T50" i="1"/>
  <c r="Q10" i="3" s="1"/>
  <c r="R75" i="1"/>
  <c r="O15" i="3" s="1"/>
  <c r="AE75" i="1"/>
  <c r="AB15" i="3" s="1"/>
  <c r="S50" i="1"/>
  <c r="P10" i="3" s="1"/>
  <c r="AF50" i="1"/>
  <c r="AC10" i="3" s="1"/>
  <c r="S75" i="1"/>
  <c r="P15" i="3" s="1"/>
  <c r="Z50" i="1"/>
  <c r="W10" i="3" s="1"/>
  <c r="P50" i="1"/>
  <c r="M10" i="3" s="1"/>
  <c r="AB50" i="1"/>
  <c r="Y10" i="3" s="1"/>
  <c r="Q50" i="1"/>
  <c r="N10" i="3" s="1"/>
  <c r="AD50" i="1"/>
  <c r="AA10" i="3" s="1"/>
  <c r="AG27" i="3" l="1"/>
  <c r="J10" i="3"/>
  <c r="W15" i="4"/>
  <c r="AC15" i="4"/>
  <c r="Y15" i="4"/>
  <c r="AD15" i="4"/>
  <c r="L15" i="4"/>
  <c r="N15" i="4"/>
  <c r="AG15" i="4"/>
  <c r="T15" i="4"/>
  <c r="V15" i="4"/>
  <c r="R15" i="4"/>
  <c r="K15" i="4"/>
  <c r="O15" i="4"/>
  <c r="P15" i="4"/>
  <c r="AH15" i="4"/>
  <c r="S15" i="4"/>
  <c r="AE15" i="4"/>
  <c r="X15" i="4"/>
  <c r="AA15" i="4"/>
  <c r="M15" i="4"/>
  <c r="AF15" i="4"/>
  <c r="J15" i="4"/>
  <c r="U15" i="4"/>
  <c r="Q15" i="4"/>
  <c r="AB15" i="4"/>
  <c r="Z15" i="4"/>
  <c r="J13" i="4"/>
  <c r="K13" i="4"/>
  <c r="L13" i="4"/>
  <c r="M13" i="4"/>
  <c r="N13" i="4"/>
  <c r="O13" i="4"/>
  <c r="P13" i="4"/>
  <c r="Q13" i="4"/>
  <c r="R13" i="4"/>
  <c r="U13" i="4"/>
  <c r="W13" i="4"/>
  <c r="T13" i="4"/>
  <c r="V13" i="4"/>
  <c r="S13" i="4"/>
  <c r="X13" i="4"/>
  <c r="Y13" i="4"/>
  <c r="Z13" i="4"/>
  <c r="AA13" i="4"/>
  <c r="AB13" i="4"/>
  <c r="AC13" i="4"/>
  <c r="AG13" i="4"/>
  <c r="AD13" i="4"/>
  <c r="AE13" i="4"/>
  <c r="AH13" i="4"/>
  <c r="AF13" i="4"/>
  <c r="V14" i="4"/>
  <c r="U14" i="4"/>
  <c r="Z14" i="4"/>
  <c r="K14" i="4"/>
  <c r="P14" i="4"/>
  <c r="AG14" i="4"/>
  <c r="S14" i="4"/>
  <c r="W14" i="4"/>
  <c r="AB14" i="4"/>
  <c r="O14" i="4"/>
  <c r="AH14" i="4"/>
  <c r="AD14" i="4"/>
  <c r="AA14" i="4"/>
  <c r="L14" i="4"/>
  <c r="Q14" i="4"/>
  <c r="X14" i="4"/>
  <c r="AC14" i="4"/>
  <c r="M14" i="4"/>
  <c r="T14" i="4"/>
  <c r="Y14" i="4"/>
  <c r="AF14" i="4"/>
  <c r="N14" i="4"/>
  <c r="R14" i="4"/>
  <c r="AE14" i="4"/>
  <c r="AK292" i="1"/>
  <c r="AH23" i="2"/>
  <c r="R181" i="1"/>
  <c r="O20" i="2" s="1"/>
  <c r="O19" i="2"/>
  <c r="N181" i="1"/>
  <c r="K20" i="2" s="1"/>
  <c r="K19" i="2"/>
  <c r="S181" i="1"/>
  <c r="P20" i="2" s="1"/>
  <c r="P19" i="2"/>
  <c r="AK345" i="1"/>
  <c r="T156" i="1"/>
  <c r="P156" i="1"/>
  <c r="U156" i="1"/>
  <c r="AD156" i="1"/>
  <c r="AA156" i="1"/>
  <c r="AE156" i="1"/>
  <c r="AC156" i="1"/>
  <c r="AB156" i="1"/>
  <c r="W156" i="1"/>
  <c r="AK156" i="1"/>
  <c r="Q156" i="1"/>
  <c r="AG156" i="1"/>
  <c r="Z156" i="1"/>
  <c r="AF156" i="1"/>
  <c r="V156" i="1"/>
  <c r="AJ156" i="1"/>
  <c r="AI156" i="1"/>
  <c r="M156" i="1"/>
  <c r="J19" i="2" s="1"/>
  <c r="J16" i="2" s="1"/>
  <c r="J26" i="2" s="1"/>
  <c r="J35" i="2" s="1"/>
  <c r="M173" i="1"/>
  <c r="AK173" i="1"/>
  <c r="P173" i="1"/>
  <c r="T173" i="1"/>
  <c r="AG173" i="1"/>
  <c r="W173" i="1"/>
  <c r="Q173" i="1"/>
  <c r="AC173" i="1"/>
  <c r="R173" i="1"/>
  <c r="O173" i="1"/>
  <c r="AI173" i="1"/>
  <c r="Z173" i="1"/>
  <c r="AF173" i="1"/>
  <c r="AB173" i="1"/>
  <c r="S173" i="1"/>
  <c r="AH173" i="1"/>
  <c r="N173" i="1"/>
  <c r="AD173" i="1"/>
  <c r="AE173" i="1"/>
  <c r="X173" i="1"/>
  <c r="AA173" i="1"/>
  <c r="Y173" i="1"/>
  <c r="U173" i="1"/>
  <c r="AJ173" i="1"/>
  <c r="V173" i="1"/>
  <c r="X156" i="1"/>
  <c r="AH156" i="1"/>
  <c r="M174" i="1"/>
  <c r="S174" i="1"/>
  <c r="AE174" i="1"/>
  <c r="Y174" i="1"/>
  <c r="AK174" i="1"/>
  <c r="AC174" i="1"/>
  <c r="AG174" i="1"/>
  <c r="AB174" i="1"/>
  <c r="Q174" i="1"/>
  <c r="AI174" i="1"/>
  <c r="AF174" i="1"/>
  <c r="W174" i="1"/>
  <c r="T174" i="1"/>
  <c r="O174" i="1"/>
  <c r="Z174" i="1"/>
  <c r="AJ174" i="1"/>
  <c r="U174" i="1"/>
  <c r="P174" i="1"/>
  <c r="AD174" i="1"/>
  <c r="AH174" i="1"/>
  <c r="X174" i="1"/>
  <c r="R174" i="1"/>
  <c r="AA174" i="1"/>
  <c r="V174" i="1"/>
  <c r="N174" i="1"/>
  <c r="Y156" i="1"/>
  <c r="O156" i="1"/>
  <c r="J18" i="4" l="1"/>
  <c r="AK351" i="1"/>
  <c r="AH31" i="2"/>
  <c r="AH28" i="2" s="1"/>
  <c r="K16" i="2"/>
  <c r="K26" i="2" s="1"/>
  <c r="K35" i="2" s="1"/>
  <c r="K18" i="4" s="1"/>
  <c r="O16" i="2"/>
  <c r="O26" i="2" s="1"/>
  <c r="O35" i="2" s="1"/>
  <c r="P16" i="2"/>
  <c r="P26" i="2" s="1"/>
  <c r="P35" i="2" s="1"/>
  <c r="AI181" i="1"/>
  <c r="AF20" i="2" s="1"/>
  <c r="AF19" i="2"/>
  <c r="AA181" i="1"/>
  <c r="X20" i="2" s="1"/>
  <c r="X19" i="2"/>
  <c r="AJ181" i="1"/>
  <c r="AG20" i="2" s="1"/>
  <c r="AG19" i="2"/>
  <c r="AD181" i="1"/>
  <c r="AA20" i="2" s="1"/>
  <c r="AA19" i="2"/>
  <c r="V181" i="1"/>
  <c r="S20" i="2" s="1"/>
  <c r="S19" i="2"/>
  <c r="U181" i="1"/>
  <c r="R20" i="2" s="1"/>
  <c r="R19" i="2"/>
  <c r="AC181" i="1"/>
  <c r="Z20" i="2" s="1"/>
  <c r="Z19" i="2"/>
  <c r="AF181" i="1"/>
  <c r="AC20" i="2" s="1"/>
  <c r="AC19" i="2"/>
  <c r="P181" i="1"/>
  <c r="M20" i="2" s="1"/>
  <c r="M19" i="2"/>
  <c r="Z181" i="1"/>
  <c r="W20" i="2" s="1"/>
  <c r="W19" i="2"/>
  <c r="T181" i="1"/>
  <c r="Q20" i="2" s="1"/>
  <c r="Q19" i="2"/>
  <c r="AG181" i="1"/>
  <c r="AD20" i="2" s="1"/>
  <c r="AD19" i="2"/>
  <c r="O181" i="1"/>
  <c r="L20" i="2" s="1"/>
  <c r="L19" i="2"/>
  <c r="Y181" i="1"/>
  <c r="V20" i="2" s="1"/>
  <c r="V19" i="2"/>
  <c r="Q181" i="1"/>
  <c r="N20" i="2" s="1"/>
  <c r="N19" i="2"/>
  <c r="AK181" i="1"/>
  <c r="AH20" i="2" s="1"/>
  <c r="AH19" i="2"/>
  <c r="AH181" i="1"/>
  <c r="AE20" i="2" s="1"/>
  <c r="AE19" i="2"/>
  <c r="W181" i="1"/>
  <c r="T20" i="2" s="1"/>
  <c r="T19" i="2"/>
  <c r="X181" i="1"/>
  <c r="U20" i="2" s="1"/>
  <c r="U19" i="2"/>
  <c r="AB181" i="1"/>
  <c r="Y20" i="2" s="1"/>
  <c r="Y19" i="2"/>
  <c r="AE181" i="1"/>
  <c r="AB20" i="2" s="1"/>
  <c r="AB19" i="2"/>
  <c r="AB171" i="1"/>
  <c r="AG171" i="1"/>
  <c r="AH171" i="1"/>
  <c r="X171" i="1"/>
  <c r="AC171" i="1"/>
  <c r="Q171" i="1"/>
  <c r="AD171" i="1"/>
  <c r="AE171" i="1"/>
  <c r="W171" i="1"/>
  <c r="N171" i="1"/>
  <c r="T171" i="1"/>
  <c r="S171" i="1"/>
  <c r="P171" i="1"/>
  <c r="AK171" i="1"/>
  <c r="V171" i="1"/>
  <c r="AF171" i="1"/>
  <c r="M171" i="1"/>
  <c r="AJ171" i="1"/>
  <c r="Z171" i="1"/>
  <c r="U171" i="1"/>
  <c r="AI171" i="1"/>
  <c r="Y171" i="1"/>
  <c r="O171" i="1"/>
  <c r="AA171" i="1"/>
  <c r="R171" i="1"/>
  <c r="AK359" i="1" l="1"/>
  <c r="AH31" i="3" s="1"/>
  <c r="AH30" i="3"/>
  <c r="AH27" i="3" s="1"/>
  <c r="X20" i="3"/>
  <c r="X17" i="3" s="1"/>
  <c r="X11" i="3" s="1"/>
  <c r="X12" i="3" s="1"/>
  <c r="P20" i="3"/>
  <c r="P17" i="3" s="1"/>
  <c r="P11" i="3" s="1"/>
  <c r="P12" i="3" s="1"/>
  <c r="V20" i="3"/>
  <c r="V17" i="3" s="1"/>
  <c r="V11" i="3" s="1"/>
  <c r="V12" i="3" s="1"/>
  <c r="K20" i="3"/>
  <c r="K17" i="3" s="1"/>
  <c r="K11" i="3" s="1"/>
  <c r="K12" i="3" s="1"/>
  <c r="AF20" i="3"/>
  <c r="AF17" i="3" s="1"/>
  <c r="AF11" i="3" s="1"/>
  <c r="AF12" i="3" s="1"/>
  <c r="T20" i="3"/>
  <c r="T17" i="3" s="1"/>
  <c r="T11" i="3" s="1"/>
  <c r="T12" i="3" s="1"/>
  <c r="R20" i="3"/>
  <c r="R17" i="3" s="1"/>
  <c r="R11" i="3" s="1"/>
  <c r="R12" i="3" s="1"/>
  <c r="AB20" i="3"/>
  <c r="AB17" i="3" s="1"/>
  <c r="AB11" i="3" s="1"/>
  <c r="AB12" i="3" s="1"/>
  <c r="Y20" i="3"/>
  <c r="Y17" i="3" s="1"/>
  <c r="Y11" i="3" s="1"/>
  <c r="Y12" i="3" s="1"/>
  <c r="L20" i="3"/>
  <c r="L17" i="3" s="1"/>
  <c r="L11" i="3" s="1"/>
  <c r="L12" i="3" s="1"/>
  <c r="Q20" i="3"/>
  <c r="Q17" i="3" s="1"/>
  <c r="Q11" i="3" s="1"/>
  <c r="Q12" i="3" s="1"/>
  <c r="AG20" i="3"/>
  <c r="AG17" i="3" s="1"/>
  <c r="AG11" i="3" s="1"/>
  <c r="AG12" i="3" s="1"/>
  <c r="N20" i="3"/>
  <c r="N17" i="3" s="1"/>
  <c r="N11" i="3" s="1"/>
  <c r="N12" i="3" s="1"/>
  <c r="J20" i="3"/>
  <c r="J17" i="3" s="1"/>
  <c r="Z20" i="3"/>
  <c r="Z17" i="3" s="1"/>
  <c r="Z11" i="3" s="1"/>
  <c r="Z12" i="3" s="1"/>
  <c r="W20" i="3"/>
  <c r="W17" i="3" s="1"/>
  <c r="W11" i="3" s="1"/>
  <c r="W12" i="3" s="1"/>
  <c r="AA20" i="3"/>
  <c r="AA17" i="3" s="1"/>
  <c r="AA11" i="3" s="1"/>
  <c r="AA12" i="3" s="1"/>
  <c r="AC20" i="3"/>
  <c r="AC17" i="3" s="1"/>
  <c r="AC11" i="3" s="1"/>
  <c r="AC12" i="3" s="1"/>
  <c r="U20" i="3"/>
  <c r="U17" i="3" s="1"/>
  <c r="U11" i="3" s="1"/>
  <c r="U12" i="3" s="1"/>
  <c r="O20" i="3"/>
  <c r="O17" i="3" s="1"/>
  <c r="O11" i="3" s="1"/>
  <c r="O12" i="3" s="1"/>
  <c r="M20" i="3"/>
  <c r="M17" i="3" s="1"/>
  <c r="M11" i="3" s="1"/>
  <c r="M12" i="3" s="1"/>
  <c r="S20" i="3"/>
  <c r="S17" i="3" s="1"/>
  <c r="S11" i="3" s="1"/>
  <c r="S12" i="3" s="1"/>
  <c r="AE20" i="3"/>
  <c r="AE17" i="3" s="1"/>
  <c r="AE11" i="3" s="1"/>
  <c r="AE12" i="3" s="1"/>
  <c r="AH20" i="3"/>
  <c r="AH17" i="3" s="1"/>
  <c r="AH11" i="3" s="1"/>
  <c r="AH12" i="3" s="1"/>
  <c r="AD20" i="3"/>
  <c r="AD17" i="3" s="1"/>
  <c r="AD11" i="3" s="1"/>
  <c r="AD12" i="3" s="1"/>
  <c r="T16" i="2"/>
  <c r="T26" i="2" s="1"/>
  <c r="T35" i="2" s="1"/>
  <c r="AD16" i="2"/>
  <c r="AD26" i="2" s="1"/>
  <c r="AD35" i="2" s="1"/>
  <c r="R16" i="2"/>
  <c r="R26" i="2" s="1"/>
  <c r="R35" i="2" s="1"/>
  <c r="AE16" i="2"/>
  <c r="AE26" i="2" s="1"/>
  <c r="AE35" i="2" s="1"/>
  <c r="Q16" i="2"/>
  <c r="Q26" i="2" s="1"/>
  <c r="Q35" i="2" s="1"/>
  <c r="S16" i="2"/>
  <c r="S26" i="2" s="1"/>
  <c r="S35" i="2" s="1"/>
  <c r="AH16" i="2"/>
  <c r="AH26" i="2" s="1"/>
  <c r="AH35" i="2" s="1"/>
  <c r="W16" i="2"/>
  <c r="W26" i="2" s="1"/>
  <c r="W35" i="2" s="1"/>
  <c r="AA16" i="2"/>
  <c r="AA26" i="2" s="1"/>
  <c r="AA35" i="2" s="1"/>
  <c r="AB16" i="2"/>
  <c r="AB26" i="2" s="1"/>
  <c r="AB35" i="2" s="1"/>
  <c r="N16" i="2"/>
  <c r="N26" i="2" s="1"/>
  <c r="N35" i="2" s="1"/>
  <c r="M16" i="2"/>
  <c r="M26" i="2" s="1"/>
  <c r="M35" i="2" s="1"/>
  <c r="AG16" i="2"/>
  <c r="AG26" i="2" s="1"/>
  <c r="AG35" i="2" s="1"/>
  <c r="Y16" i="2"/>
  <c r="Y26" i="2" s="1"/>
  <c r="Y35" i="2" s="1"/>
  <c r="V16" i="2"/>
  <c r="V26" i="2" s="1"/>
  <c r="V35" i="2" s="1"/>
  <c r="AC16" i="2"/>
  <c r="AC26" i="2" s="1"/>
  <c r="AC35" i="2" s="1"/>
  <c r="X16" i="2"/>
  <c r="X26" i="2" s="1"/>
  <c r="X35" i="2" s="1"/>
  <c r="U16" i="2"/>
  <c r="U26" i="2" s="1"/>
  <c r="U35" i="2" s="1"/>
  <c r="L16" i="2"/>
  <c r="Z16" i="2"/>
  <c r="Z26" i="2" s="1"/>
  <c r="Z35" i="2" s="1"/>
  <c r="AF16" i="2"/>
  <c r="AF26" i="2" s="1"/>
  <c r="AF35" i="2" s="1"/>
  <c r="K19" i="4" l="1"/>
  <c r="K17" i="4" s="1"/>
  <c r="L26" i="2"/>
  <c r="L35" i="2" s="1"/>
  <c r="S19" i="4"/>
  <c r="AB19" i="4"/>
  <c r="Z19" i="4"/>
  <c r="P19" i="4"/>
  <c r="O19" i="4"/>
  <c r="W19" i="4"/>
  <c r="R19" i="4"/>
  <c r="AG19" i="4"/>
  <c r="L19" i="4"/>
  <c r="AC19" i="4"/>
  <c r="U19" i="4"/>
  <c r="Q19" i="4"/>
  <c r="AF19" i="4"/>
  <c r="Y19" i="4"/>
  <c r="X19" i="4"/>
  <c r="T19" i="4"/>
  <c r="AH19" i="4"/>
  <c r="N19" i="4"/>
  <c r="AD19" i="4"/>
  <c r="M19" i="4"/>
  <c r="V19" i="4"/>
  <c r="J11" i="3"/>
  <c r="J12" i="3" s="1"/>
  <c r="J13" i="3" s="1"/>
  <c r="J12" i="4" s="1"/>
  <c r="J11" i="4" s="1"/>
  <c r="J19" i="4"/>
  <c r="J17" i="4" s="1"/>
  <c r="AE19" i="4"/>
  <c r="AA19" i="4"/>
  <c r="K9" i="3" l="1"/>
  <c r="K13" i="3" s="1"/>
  <c r="L9" i="3" s="1"/>
  <c r="L13" i="3" s="1"/>
  <c r="AH18" i="4"/>
  <c r="AH17" i="4" s="1"/>
  <c r="AB18" i="4"/>
  <c r="AB17" i="4" s="1"/>
  <c r="AE18" i="4"/>
  <c r="AE17" i="4" s="1"/>
  <c r="U18" i="4"/>
  <c r="U17" i="4" s="1"/>
  <c r="P18" i="4"/>
  <c r="P17" i="4" s="1"/>
  <c r="S18" i="4"/>
  <c r="S17" i="4" s="1"/>
  <c r="AC18" i="4"/>
  <c r="AC17" i="4" s="1"/>
  <c r="X18" i="4"/>
  <c r="X17" i="4" s="1"/>
  <c r="AG18" i="4"/>
  <c r="AG17" i="4" s="1"/>
  <c r="M18" i="4"/>
  <c r="M17" i="4" s="1"/>
  <c r="AD18" i="4"/>
  <c r="AD17" i="4" s="1"/>
  <c r="Z18" i="4"/>
  <c r="Z17" i="4" s="1"/>
  <c r="AA18" i="4"/>
  <c r="AA17" i="4" s="1"/>
  <c r="W18" i="4"/>
  <c r="W17" i="4" s="1"/>
  <c r="V18" i="4"/>
  <c r="V17" i="4" s="1"/>
  <c r="Q18" i="4"/>
  <c r="Q17" i="4" s="1"/>
  <c r="T18" i="4"/>
  <c r="T17" i="4" s="1"/>
  <c r="O18" i="4"/>
  <c r="O17" i="4" s="1"/>
  <c r="Y18" i="4"/>
  <c r="Y17" i="4" s="1"/>
  <c r="L18" i="4"/>
  <c r="L17" i="4" s="1"/>
  <c r="R18" i="4"/>
  <c r="R17" i="4" s="1"/>
  <c r="AF18" i="4"/>
  <c r="AF17" i="4" s="1"/>
  <c r="N18" i="4"/>
  <c r="N17" i="4" s="1"/>
  <c r="J9" i="4"/>
  <c r="K12" i="4" l="1"/>
  <c r="K11" i="4" s="1"/>
  <c r="K9" i="4" s="1"/>
  <c r="M9" i="3"/>
  <c r="M13" i="3" s="1"/>
  <c r="L12" i="4"/>
  <c r="L11" i="4" s="1"/>
  <c r="L9" i="4" s="1"/>
  <c r="N9" i="3" l="1"/>
  <c r="N13" i="3" s="1"/>
  <c r="M12" i="4"/>
  <c r="M11" i="4" s="1"/>
  <c r="M9" i="4" s="1"/>
  <c r="O9" i="3" l="1"/>
  <c r="O13" i="3" s="1"/>
  <c r="N12" i="4"/>
  <c r="N11" i="4" s="1"/>
  <c r="N9" i="4" s="1"/>
  <c r="P9" i="3" l="1"/>
  <c r="P13" i="3" s="1"/>
  <c r="O12" i="4"/>
  <c r="O11" i="4" s="1"/>
  <c r="O9" i="4" s="1"/>
  <c r="Q9" i="3" l="1"/>
  <c r="Q13" i="3" s="1"/>
  <c r="P12" i="4"/>
  <c r="P11" i="4" s="1"/>
  <c r="P9" i="4" s="1"/>
  <c r="R9" i="3" l="1"/>
  <c r="R13" i="3" s="1"/>
  <c r="Q12" i="4"/>
  <c r="Q11" i="4" s="1"/>
  <c r="Q9" i="4" s="1"/>
  <c r="S9" i="3" l="1"/>
  <c r="S13" i="3" s="1"/>
  <c r="R12" i="4"/>
  <c r="R11" i="4" s="1"/>
  <c r="R9" i="4" s="1"/>
  <c r="T9" i="3" l="1"/>
  <c r="T13" i="3" s="1"/>
  <c r="S12" i="4"/>
  <c r="S11" i="4" s="1"/>
  <c r="S9" i="4" s="1"/>
  <c r="U9" i="3" l="1"/>
  <c r="U13" i="3" s="1"/>
  <c r="T12" i="4"/>
  <c r="T11" i="4" s="1"/>
  <c r="T9" i="4" s="1"/>
  <c r="V9" i="3" l="1"/>
  <c r="V13" i="3" s="1"/>
  <c r="U12" i="4"/>
  <c r="U11" i="4" s="1"/>
  <c r="U9" i="4" s="1"/>
  <c r="W9" i="3" l="1"/>
  <c r="W13" i="3" s="1"/>
  <c r="V12" i="4"/>
  <c r="V11" i="4" s="1"/>
  <c r="V9" i="4" s="1"/>
  <c r="X9" i="3" l="1"/>
  <c r="X13" i="3" s="1"/>
  <c r="W12" i="4"/>
  <c r="W11" i="4" s="1"/>
  <c r="W9" i="4" s="1"/>
  <c r="Y9" i="3" l="1"/>
  <c r="Y13" i="3" s="1"/>
  <c r="X12" i="4"/>
  <c r="X11" i="4" s="1"/>
  <c r="X9" i="4" s="1"/>
  <c r="Z9" i="3" l="1"/>
  <c r="Z13" i="3" s="1"/>
  <c r="Y12" i="4"/>
  <c r="Y11" i="4" s="1"/>
  <c r="Y9" i="4" s="1"/>
  <c r="AA9" i="3" l="1"/>
  <c r="AA13" i="3" s="1"/>
  <c r="Z12" i="4"/>
  <c r="Z11" i="4" s="1"/>
  <c r="Z9" i="4" s="1"/>
  <c r="AB9" i="3" l="1"/>
  <c r="AB13" i="3" s="1"/>
  <c r="AA12" i="4"/>
  <c r="AA11" i="4" s="1"/>
  <c r="AA9" i="4" s="1"/>
  <c r="AC9" i="3" l="1"/>
  <c r="AC13" i="3" s="1"/>
  <c r="AB12" i="4"/>
  <c r="AB11" i="4" s="1"/>
  <c r="AB9" i="4" s="1"/>
  <c r="AD9" i="3" l="1"/>
  <c r="AD13" i="3" s="1"/>
  <c r="AC12" i="4"/>
  <c r="AC11" i="4" s="1"/>
  <c r="AC9" i="4" s="1"/>
  <c r="AE9" i="3" l="1"/>
  <c r="AE13" i="3" s="1"/>
  <c r="AD12" i="4"/>
  <c r="AD11" i="4" s="1"/>
  <c r="AD9" i="4" s="1"/>
  <c r="AF9" i="3" l="1"/>
  <c r="AF13" i="3" s="1"/>
  <c r="AE12" i="4"/>
  <c r="AE11" i="4" s="1"/>
  <c r="AE9" i="4" s="1"/>
  <c r="AG9" i="3" l="1"/>
  <c r="AG13" i="3" s="1"/>
  <c r="AF12" i="4"/>
  <c r="AF11" i="4" s="1"/>
  <c r="AF9" i="4" s="1"/>
  <c r="AH9" i="3" l="1"/>
  <c r="AH13" i="3" s="1"/>
  <c r="AH12" i="4" s="1"/>
  <c r="AH11" i="4" s="1"/>
  <c r="AH9" i="4" s="1"/>
  <c r="AG12" i="4"/>
  <c r="AG11" i="4" s="1"/>
  <c r="AG9" i="4" s="1"/>
</calcChain>
</file>

<file path=xl/sharedStrings.xml><?xml version="1.0" encoding="utf-8"?>
<sst xmlns="http://schemas.openxmlformats.org/spreadsheetml/2006/main" count="544" uniqueCount="188">
  <si>
    <t>показатель</t>
  </si>
  <si>
    <t>количество парковок в управлении</t>
  </si>
  <si>
    <t>народный гараж</t>
  </si>
  <si>
    <t>хозяйственное ведение</t>
  </si>
  <si>
    <t>в т.ч.</t>
  </si>
  <si>
    <t>тип парковки</t>
  </si>
  <si>
    <t>KPI</t>
  </si>
  <si>
    <t>ед. изм.</t>
  </si>
  <si>
    <t>кол-во</t>
  </si>
  <si>
    <t>коммуникация</t>
  </si>
  <si>
    <t>*</t>
  </si>
  <si>
    <t>разделы</t>
  </si>
  <si>
    <t>м/м</t>
  </si>
  <si>
    <t>среднее кол-во машиномест 1ой парковки</t>
  </si>
  <si>
    <t>руб.</t>
  </si>
  <si>
    <t>кол-во машиномест в управлении</t>
  </si>
  <si>
    <t>%</t>
  </si>
  <si>
    <t>доля занятых (сданных в аренду) машиномест</t>
  </si>
  <si>
    <t>средняя стоимость сдачи в аренду 1ого м/места</t>
  </si>
  <si>
    <t>Доходы</t>
  </si>
  <si>
    <t>доход от сдачи м/мест в аренду</t>
  </si>
  <si>
    <t>тыс.руб.</t>
  </si>
  <si>
    <t>Выручка</t>
  </si>
  <si>
    <t>период оборачиваемости деб/задолженности</t>
  </si>
  <si>
    <t>дни</t>
  </si>
  <si>
    <t>Поступления ДС</t>
  </si>
  <si>
    <t>распределение поступлений арендных платежей</t>
  </si>
  <si>
    <t>обратное распр-ние поступлений арендных платежей</t>
  </si>
  <si>
    <t>поступления ДС от клиентов</t>
  </si>
  <si>
    <t>CFIn</t>
  </si>
  <si>
    <t>средняя арендная себестоимость 1ого м/места</t>
  </si>
  <si>
    <t>Себестоимость</t>
  </si>
  <si>
    <t>арендная себестоимость приобретения м/мест</t>
  </si>
  <si>
    <t>Списания ДС</t>
  </si>
  <si>
    <t>распределение с/стоимостных арендных платежей</t>
  </si>
  <si>
    <t>обратное распр-ние с/стоим-ых арендных платежей</t>
  </si>
  <si>
    <t>Расходы</t>
  </si>
  <si>
    <t>списания ДС владельцам парковок за аренду м/мест</t>
  </si>
  <si>
    <t>CFOut</t>
  </si>
  <si>
    <t>Переменные расходы</t>
  </si>
  <si>
    <t>базовый расход эл/энергии на 1 м/место за сутки</t>
  </si>
  <si>
    <t>кВт</t>
  </si>
  <si>
    <t>стоимость одного кВт</t>
  </si>
  <si>
    <t>сезонный коэффициент для коммунальных расходов</t>
  </si>
  <si>
    <t>%-нт прочих коммунальных расходов от эл/энергии</t>
  </si>
  <si>
    <t>коммунальные расходы</t>
  </si>
  <si>
    <t>распределение платежей за коммунальные услуги</t>
  </si>
  <si>
    <t>обратное распр-ние коммунальных платежей</t>
  </si>
  <si>
    <t>коммунальные платежи</t>
  </si>
  <si>
    <t>закупка материалов под эксплуатационные работы 1ой парковки</t>
  </si>
  <si>
    <t>закупка материалов</t>
  </si>
  <si>
    <t>Списание на расходы</t>
  </si>
  <si>
    <t>распределение списания материалов на расходы</t>
  </si>
  <si>
    <t>обратное распр-ние списания материалов на расходы</t>
  </si>
  <si>
    <t>материалы в составе эксплуатационных расходов</t>
  </si>
  <si>
    <t>процент работ от материалов</t>
  </si>
  <si>
    <t>незавершенные работы</t>
  </si>
  <si>
    <t>распределение списания работ на расходы</t>
  </si>
  <si>
    <t>обратное распр-ние списания работ на расходы</t>
  </si>
  <si>
    <t>работы в составе эксплуатационных расходов</t>
  </si>
  <si>
    <t>эксплуатационные расходы</t>
  </si>
  <si>
    <t>распределение платежей за материалы и работы</t>
  </si>
  <si>
    <t>обратное распр-ние платежей за материалы и работы</t>
  </si>
  <si>
    <t>оплата эксплуатационных расходов</t>
  </si>
  <si>
    <t>маркетинговые расходы на одну парковку</t>
  </si>
  <si>
    <t>маркетинговые расходы</t>
  </si>
  <si>
    <t>распределение платежей за маркетинг</t>
  </si>
  <si>
    <t>обратное распр-ние платежей за маркетинг</t>
  </si>
  <si>
    <t>оплата маркетинговых расходов</t>
  </si>
  <si>
    <t>расходы на ТО парковочного оборудования на одну парковку</t>
  </si>
  <si>
    <t>расходы на ТО парковочного оборудования</t>
  </si>
  <si>
    <t>распределение платежей за ТО оборудования</t>
  </si>
  <si>
    <t>обратное распр-ние платежей за ТО оборудования</t>
  </si>
  <si>
    <t>оплата ТО парковочного оборудования</t>
  </si>
  <si>
    <t>кол-во штатных охранников на одну парковку</t>
  </si>
  <si>
    <t>оклад 1ого охранника</t>
  </si>
  <si>
    <t>ФОТ охранников</t>
  </si>
  <si>
    <t>распределение выплат ФОТ охранников</t>
  </si>
  <si>
    <t>обратное распр-ние выплат ФОТ охранников</t>
  </si>
  <si>
    <t>оплата ФОТ охранников</t>
  </si>
  <si>
    <t>%-нт соцсборов с ФОТ охранников</t>
  </si>
  <si>
    <t>соцсборы с ФОТ охранников</t>
  </si>
  <si>
    <t>кол-во штатных уборщиков на одну парковку</t>
  </si>
  <si>
    <t>оклад 1ого уборщика</t>
  </si>
  <si>
    <t>ФОТ уборщиков</t>
  </si>
  <si>
    <t>распределение выплат ФОТ уборщиков</t>
  </si>
  <si>
    <t>обратное распр-ние выплат ФОТ уборщиков</t>
  </si>
  <si>
    <t>оплата ФОТ уборщиков</t>
  </si>
  <si>
    <t>%-нт соцсборов с ФОТ уборщиков</t>
  </si>
  <si>
    <t>соцсборы с ФОТ уборщиков</t>
  </si>
  <si>
    <t>Постоянные расходы</t>
  </si>
  <si>
    <t>кол-во управленческого персонала</t>
  </si>
  <si>
    <t>ФОТ управленческого персонала</t>
  </si>
  <si>
    <t>распределение выплат ФОТ управленческого персонала</t>
  </si>
  <si>
    <t>обратное распр-ние выплат ФОТ управленцев</t>
  </si>
  <si>
    <t>оплата ФОТ управленческого персонала</t>
  </si>
  <si>
    <t>%-нт соцсборов с ФОТ управленческого персонала</t>
  </si>
  <si>
    <t>соцсборы с ФОТ управленческого персонала</t>
  </si>
  <si>
    <t>кол-во коммерческого персонала</t>
  </si>
  <si>
    <t>средний оклад одного управленца</t>
  </si>
  <si>
    <t>средний оклад одного менеджера по продажам</t>
  </si>
  <si>
    <t>ФОТ коммерческого персонала</t>
  </si>
  <si>
    <t>распределение выплат ФОТ коммерческого персонала</t>
  </si>
  <si>
    <t>обратное распр-ние выплат ФОТ коммерсантов</t>
  </si>
  <si>
    <t>оплата ФОТ коммерческого персонала</t>
  </si>
  <si>
    <t>%-нт соцсборов с ФОТ коммерческого персонала</t>
  </si>
  <si>
    <t>соцсборы с ФОТ коммерческого персонала</t>
  </si>
  <si>
    <t>распределение выплат соцсборов</t>
  </si>
  <si>
    <t>обратное распр-ние выплат соцсборов</t>
  </si>
  <si>
    <t>оплата соцсборов</t>
  </si>
  <si>
    <t>начисление соцсборов</t>
  </si>
  <si>
    <t>аренда офиса</t>
  </si>
  <si>
    <t>распределение оплаты аренды офиса</t>
  </si>
  <si>
    <t>обратное распр-ние оплат аренды офиса</t>
  </si>
  <si>
    <t>оплата аренды офиса</t>
  </si>
  <si>
    <t>прочие постоянные расходы</t>
  </si>
  <si>
    <t>распределение оплаты прочих постоянных расходов</t>
  </si>
  <si>
    <t>обратное распр-ние оплат прочих постоянных расходов</t>
  </si>
  <si>
    <t>оплата прочих постоянных расходов</t>
  </si>
  <si>
    <t>Финмодель управления и эксплуатации недвижимости</t>
  </si>
  <si>
    <t>Направление: парковки и гаражные комплексы</t>
  </si>
  <si>
    <t>Условия и расчеты</t>
  </si>
  <si>
    <t>-</t>
  </si>
  <si>
    <t>поля для ручного ввода данных</t>
  </si>
  <si>
    <t>Отчет о прибылях и убытках (P&amp;L)</t>
  </si>
  <si>
    <t>в тыс. руб. без НДС</t>
  </si>
  <si>
    <t>без НДС</t>
  </si>
  <si>
    <t>Валовая прибыль</t>
  </si>
  <si>
    <t>Названия всех показателей модели</t>
  </si>
  <si>
    <t>Маржинальная прибыль</t>
  </si>
  <si>
    <t>Прибыль до налога на прибыль</t>
  </si>
  <si>
    <t>Чистая прибыль</t>
  </si>
  <si>
    <t>ставка налога на прибыль</t>
  </si>
  <si>
    <t>налог на прибыль</t>
  </si>
  <si>
    <t>Отчет о движении денежных средств (Cash Flow)</t>
  </si>
  <si>
    <t>Остаток ДС на начало периода</t>
  </si>
  <si>
    <t>Финансовый поток</t>
  </si>
  <si>
    <t>Остаток ДС на конец периода</t>
  </si>
  <si>
    <t>Оплата переменных расходов</t>
  </si>
  <si>
    <t>Оплата постоянных расходов</t>
  </si>
  <si>
    <t>Управленческий баланс</t>
  </si>
  <si>
    <t>Ключевые разделы и некоторые структурные характеристики модели</t>
  </si>
  <si>
    <t>АКТИВЫ</t>
  </si>
  <si>
    <t>Денежные средства</t>
  </si>
  <si>
    <t>Материалы</t>
  </si>
  <si>
    <t>Незавершенные работы</t>
  </si>
  <si>
    <t>Дебиторская задолженность</t>
  </si>
  <si>
    <t>Кредиторская задолженность</t>
  </si>
  <si>
    <t>Собственный капитал</t>
  </si>
  <si>
    <t>ПАССИВЫ</t>
  </si>
  <si>
    <t>БАЛАНС</t>
  </si>
  <si>
    <t>+7(985)201-6607</t>
  </si>
  <si>
    <t>ИНСТРУКЦИЯ / МЕТОДОЛОГИЯ</t>
  </si>
  <si>
    <t>место в документе</t>
  </si>
  <si>
    <t>лист</t>
  </si>
  <si>
    <t>ячейки</t>
  </si>
  <si>
    <t>описание</t>
  </si>
  <si>
    <t>для всех листов</t>
  </si>
  <si>
    <t>ячейки для ручного внесения данных</t>
  </si>
  <si>
    <t>условия_и_расчеты</t>
  </si>
  <si>
    <t>M6</t>
  </si>
  <si>
    <t>пользователь задает вручную первое число начального месяца моделирования</t>
  </si>
  <si>
    <t>стр.10-13</t>
  </si>
  <si>
    <t>В строке 10 рассчитывается общее количество парковок в управлении, путем задания в строках 12 и 13 вручную пользователем динамики перехода в управление парковок для каждого месяца моделирования для двух категорий парковок: "народный гараж", "хозяйственное ведение"</t>
  </si>
  <si>
    <t>стр.15-18</t>
  </si>
  <si>
    <t>В строке 15 рассчитывается среднее количество машиномест одной парковки, путем задания в строках 17 и 18 вручную пользователем среднего количества машиномест одной парковки для всех парковок, находящихся в управлении в рассматриваемом месяце моделирования для двух категорий парковок: "народный гараж", "хозяйственное ведение"</t>
  </si>
  <si>
    <t>стр.20-23</t>
  </si>
  <si>
    <t>Здесь путем перемножения количества парковок на среднее количество машиномест одной парковки производится расчет общего количества машиномест в управлении</t>
  </si>
  <si>
    <t>стр.25-28</t>
  </si>
  <si>
    <t>В строке 25 рассчитывается процент заполняемости, путем задания в строках 27 и 28 вручную пользователем средней величины заполняемости парковок для каждого месяца моделирования для двух категорий парковок: "народный гараж", "хозяйственное ведение"</t>
  </si>
  <si>
    <t>стр.30-33</t>
  </si>
  <si>
    <t>В строке 30 рассчитывается средняя стоимость сдачи в аренду одного машиноместа в месяц, путем задания в строках 32 и 33 вручную пользователем средней стоимости сдачи в аренду одного машиноместа парковки в месяц для каждого месяца моделирования для двух категорий парковок: "народный гараж", "хозяйственное ведение"</t>
  </si>
  <si>
    <t>стр.35-38</t>
  </si>
  <si>
    <t>Здесь путем перемножения общего количества машиномест в управлении на среднюю заполняемость парковок и на среднюю стоимость аренды одного машиноместа в месяц производится расчет выручки от сдачи в аренду машиномест</t>
  </si>
  <si>
    <t>стр.40-43</t>
  </si>
  <si>
    <t>В строке 40 рассчитывается среднее распределение поступления денежных средств от арендаторов машиномест, путем задания в строках 42 и 43 вручную пользователем средних распределений поступления денежных средств от арендаторов машиномест для двух категорий парковок: "народный гараж", "хозяйственное ведение"</t>
  </si>
  <si>
    <t>стр.45-48</t>
  </si>
  <si>
    <t>Здесь производится технический расчет (калькуляция) обратного распределения поступления денежных средств от арендаторов машиномест с целью дальнейшего расчета потока платежей</t>
  </si>
  <si>
    <t>стр.50-53</t>
  </si>
  <si>
    <t>Здесь путем применения распределения поступления денежных средств от арендаторов машиномест к потоку выручки за сдачу машиномест в аренду получаем поток поступления денежных средств от клиентов (арендаторов)</t>
  </si>
  <si>
    <t>стр.55-369</t>
  </si>
  <si>
    <t>Далее все статьи расходов понимаются, как читаются, и рассчитываются по аналогии с описанным выше алгоритмом расчетов доходных показателей (выручки и поступления денежных средств)</t>
  </si>
  <si>
    <t>PL,CF,BS</t>
  </si>
  <si>
    <t>в этих вкладках в ежемесячной детализации формируются основные классические</t>
  </si>
  <si>
    <t>финансовые отчеты: PL-БДР; CF-БДДС; BS-Баланс - все данные поставляются из листа "условия_и_расчеты"</t>
  </si>
  <si>
    <t>здесь задаются все показатели финмодели</t>
  </si>
  <si>
    <t>структура</t>
  </si>
  <si>
    <t>здесь задается структура финмодели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</si>
</sst>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[$-419]mmmm\ yyyy;@"/>
    <numFmt numFmtId="166" formatCode="0.0%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9"/>
      <color theme="0" tint="-0.3499862666707357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/>
    <xf numFmtId="164" fontId="4" fillId="3" borderId="1" xfId="0" applyNumberFormat="1" applyFont="1" applyFill="1" applyBorder="1"/>
    <xf numFmtId="164" fontId="4" fillId="3" borderId="0" xfId="0" applyNumberFormat="1" applyFont="1" applyFill="1"/>
    <xf numFmtId="165" fontId="1" fillId="2" borderId="0" xfId="0" applyNumberFormat="1" applyFont="1" applyFill="1"/>
    <xf numFmtId="3" fontId="3" fillId="2" borderId="0" xfId="0" applyNumberFormat="1" applyFont="1" applyFill="1"/>
    <xf numFmtId="3" fontId="1" fillId="2" borderId="0" xfId="0" applyNumberFormat="1" applyFont="1" applyFill="1"/>
    <xf numFmtId="166" fontId="3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7" fillId="2" borderId="0" xfId="0" applyFont="1" applyFill="1"/>
    <xf numFmtId="166" fontId="1" fillId="2" borderId="0" xfId="0" applyNumberFormat="1" applyFont="1" applyFill="1"/>
    <xf numFmtId="166" fontId="1" fillId="2" borderId="1" xfId="0" applyNumberFormat="1" applyFont="1" applyFill="1" applyBorder="1"/>
    <xf numFmtId="166" fontId="1" fillId="2" borderId="2" xfId="0" applyNumberFormat="1" applyFont="1" applyFill="1" applyBorder="1"/>
    <xf numFmtId="166" fontId="1" fillId="2" borderId="3" xfId="0" applyNumberFormat="1" applyFont="1" applyFill="1" applyBorder="1"/>
    <xf numFmtId="0" fontId="3" fillId="5" borderId="0" xfId="0" applyFont="1" applyFill="1"/>
    <xf numFmtId="3" fontId="3" fillId="5" borderId="0" xfId="0" applyNumberFormat="1" applyFont="1" applyFill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167" fontId="1" fillId="2" borderId="1" xfId="0" applyNumberFormat="1" applyFont="1" applyFill="1" applyBorder="1"/>
    <xf numFmtId="0" fontId="8" fillId="2" borderId="0" xfId="0" applyFont="1" applyFill="1"/>
    <xf numFmtId="0" fontId="9" fillId="2" borderId="0" xfId="0" quotePrefix="1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3" fontId="11" fillId="2" borderId="0" xfId="0" applyNumberFormat="1" applyFont="1" applyFill="1"/>
    <xf numFmtId="0" fontId="11" fillId="0" borderId="0" xfId="0" applyFont="1"/>
    <xf numFmtId="0" fontId="13" fillId="2" borderId="0" xfId="0" applyFont="1" applyFill="1"/>
    <xf numFmtId="0" fontId="8" fillId="0" borderId="0" xfId="0" applyFont="1"/>
    <xf numFmtId="0" fontId="8" fillId="2" borderId="0" xfId="0" applyFont="1" applyFill="1" applyBorder="1"/>
    <xf numFmtId="0" fontId="8" fillId="2" borderId="4" xfId="0" applyFont="1" applyFill="1" applyBorder="1"/>
    <xf numFmtId="0" fontId="14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16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6" borderId="0" xfId="0" applyFont="1" applyFill="1"/>
    <xf numFmtId="0" fontId="3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 wrapText="1"/>
    </xf>
    <xf numFmtId="0" fontId="3" fillId="6" borderId="0" xfId="0" applyFont="1" applyFill="1"/>
    <xf numFmtId="0" fontId="3" fillId="2" borderId="0" xfId="0" applyFont="1" applyFill="1" applyAlignment="1">
      <alignment horizontal="left" vertical="center" wrapText="1"/>
    </xf>
    <xf numFmtId="0" fontId="15" fillId="0" borderId="0" xfId="0" applyFont="1"/>
    <xf numFmtId="0" fontId="18" fillId="2" borderId="0" xfId="0" applyFont="1" applyFill="1"/>
    <xf numFmtId="0" fontId="18" fillId="6" borderId="0" xfId="0" applyFont="1" applyFill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9" fillId="0" borderId="0" xfId="0" applyFont="1"/>
    <xf numFmtId="0" fontId="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5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bgColor theme="9" tint="0.59996337778862885"/>
        </patternFill>
      </fill>
    </dxf>
    <dxf>
      <font>
        <color rgb="FFC00000"/>
      </font>
    </dxf>
    <dxf>
      <fill>
        <patternFill>
          <bgColor theme="9" tint="0.59996337778862885"/>
        </patternFill>
      </fill>
    </dxf>
    <dxf>
      <font>
        <color rgb="FFC0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prostaya_finmodel_ekspluatatsii_i_upravleniya_parkovkami_i_garazhnymi_kompleksam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2689860</xdr:colOff>
      <xdr:row>0</xdr:row>
      <xdr:rowOff>83820</xdr:rowOff>
    </xdr:from>
    <xdr:to>
      <xdr:col>10</xdr:col>
      <xdr:colOff>160</xdr:colOff>
      <xdr:row>4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0</xdr:col>
      <xdr:colOff>83820</xdr:colOff>
      <xdr:row>10</xdr:row>
      <xdr:rowOff>114300</xdr:rowOff>
    </xdr:from>
    <xdr:to>
      <xdr:col>4</xdr:col>
      <xdr:colOff>83820</xdr:colOff>
      <xdr:row>19</xdr:row>
      <xdr:rowOff>15240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управления парковками MNGMNT.RU"/>
        </xdr:cNvPr>
        <xdr:cNvSpPr/>
      </xdr:nvSpPr>
      <xdr:spPr>
        <a:xfrm>
          <a:off x="83820" y="1638300"/>
          <a:ext cx="1653540" cy="12268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ЭКСПЛУАТАЦИИ И УПРАВЛЕНИЯ ПАРКОВКАМИ И ГАРАЖНЫМИ КОМПЛЕКСАМИ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0"/>
  <sheetViews>
    <sheetView showGridLines="0" tabSelected="1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4" x14ac:dyDescent="0.3"/>
  <cols>
    <col min="1" max="1" width="1.77734375" customWidth="1"/>
    <col min="2" max="2" width="0.88671875" customWidth="1"/>
    <col min="3" max="5" width="1.77734375" customWidth="1"/>
    <col min="6" max="6" width="16.21875" customWidth="1"/>
    <col min="7" max="7" width="1.77734375" customWidth="1"/>
    <col min="8" max="8" width="10.77734375" style="61" customWidth="1"/>
    <col min="9" max="11" width="1.77734375" customWidth="1"/>
    <col min="12" max="12" width="64" style="65" customWidth="1"/>
    <col min="13" max="13" width="1.77734375" customWidth="1"/>
    <col min="14" max="14" width="2.77734375" customWidth="1"/>
    <col min="15" max="15" width="1.77734375" customWidth="1"/>
    <col min="16" max="16" width="0.88671875" customWidth="1"/>
    <col min="17" max="17" width="1.77734375" customWidth="1"/>
  </cols>
  <sheetData>
    <row r="1" spans="1:17" x14ac:dyDescent="0.3">
      <c r="A1" s="36"/>
      <c r="B1" s="36"/>
      <c r="C1" s="36"/>
      <c r="D1" s="36"/>
      <c r="E1" s="36"/>
      <c r="F1" s="36"/>
      <c r="G1" s="36"/>
      <c r="H1" s="47"/>
      <c r="I1" s="36"/>
      <c r="J1" s="36"/>
      <c r="K1" s="36"/>
      <c r="L1" s="48"/>
      <c r="M1" s="36"/>
      <c r="N1" s="36"/>
      <c r="O1" s="36"/>
      <c r="P1" s="36"/>
      <c r="Q1" s="36"/>
    </row>
    <row r="2" spans="1:17" ht="4.95" customHeight="1" x14ac:dyDescent="0.3">
      <c r="A2" s="36"/>
      <c r="B2" s="49"/>
      <c r="C2" s="49"/>
      <c r="D2" s="49"/>
      <c r="E2" s="49"/>
      <c r="F2" s="49"/>
      <c r="G2" s="49"/>
      <c r="H2" s="50"/>
      <c r="I2" s="49"/>
      <c r="J2" s="49"/>
      <c r="K2" s="49"/>
      <c r="L2" s="51"/>
      <c r="M2" s="49"/>
      <c r="N2" s="49"/>
      <c r="O2" s="49"/>
      <c r="P2" s="49"/>
      <c r="Q2" s="36"/>
    </row>
    <row r="3" spans="1:17" ht="4.05" customHeight="1" x14ac:dyDescent="0.3">
      <c r="A3" s="36"/>
      <c r="B3" s="49"/>
      <c r="C3" s="36"/>
      <c r="D3" s="36"/>
      <c r="E3" s="36"/>
      <c r="F3" s="36"/>
      <c r="G3" s="36"/>
      <c r="H3" s="47"/>
      <c r="I3" s="36"/>
      <c r="J3" s="36"/>
      <c r="K3" s="36"/>
      <c r="L3" s="48"/>
      <c r="M3" s="36"/>
      <c r="N3" s="36"/>
      <c r="O3" s="36"/>
      <c r="P3" s="49"/>
      <c r="Q3" s="36"/>
    </row>
    <row r="4" spans="1:17" ht="7.05" customHeight="1" x14ac:dyDescent="0.3">
      <c r="A4" s="36"/>
      <c r="B4" s="49"/>
      <c r="C4" s="36"/>
      <c r="D4" s="36"/>
      <c r="E4" s="36"/>
      <c r="F4" s="36"/>
      <c r="G4" s="36"/>
      <c r="H4" s="47"/>
      <c r="I4" s="36"/>
      <c r="J4" s="36"/>
      <c r="K4" s="36"/>
      <c r="L4" s="48"/>
      <c r="M4" s="36"/>
      <c r="N4" s="36"/>
      <c r="O4" s="36"/>
      <c r="P4" s="49"/>
      <c r="Q4" s="36"/>
    </row>
    <row r="5" spans="1:17" s="54" customFormat="1" x14ac:dyDescent="0.3">
      <c r="A5" s="7"/>
      <c r="B5" s="52"/>
      <c r="C5" s="7"/>
      <c r="D5" s="7" t="str">
        <f>условия_и_расчеты!C2</f>
        <v>Финмодель управления и эксплуатации недвижимости</v>
      </c>
      <c r="E5" s="7"/>
      <c r="F5" s="7"/>
      <c r="G5" s="7"/>
      <c r="H5" s="47"/>
      <c r="I5" s="7"/>
      <c r="J5" s="7"/>
      <c r="K5" s="7"/>
      <c r="L5" s="53"/>
      <c r="M5" s="7"/>
      <c r="N5" s="7"/>
      <c r="O5" s="7"/>
      <c r="P5" s="52"/>
      <c r="Q5" s="7"/>
    </row>
    <row r="6" spans="1:17" s="54" customFormat="1" x14ac:dyDescent="0.3">
      <c r="A6" s="7"/>
      <c r="B6" s="52"/>
      <c r="C6" s="7"/>
      <c r="D6" s="7" t="str">
        <f>условия_и_расчеты!C3</f>
        <v>Направление: парковки и гаражные комплексы</v>
      </c>
      <c r="E6" s="7"/>
      <c r="F6" s="7"/>
      <c r="G6" s="7"/>
      <c r="H6" s="47"/>
      <c r="I6" s="7"/>
      <c r="J6" s="7"/>
      <c r="K6" s="7"/>
      <c r="L6" s="53"/>
      <c r="M6" s="7"/>
      <c r="N6" s="7"/>
      <c r="O6" s="7"/>
      <c r="P6" s="52"/>
      <c r="Q6" s="7"/>
    </row>
    <row r="7" spans="1:17" s="59" customFormat="1" x14ac:dyDescent="0.3">
      <c r="A7" s="55"/>
      <c r="B7" s="56"/>
      <c r="C7" s="55"/>
      <c r="D7" s="55" t="s">
        <v>152</v>
      </c>
      <c r="E7" s="55"/>
      <c r="F7" s="55"/>
      <c r="G7" s="55"/>
      <c r="H7" s="57"/>
      <c r="I7" s="55"/>
      <c r="J7" s="55"/>
      <c r="K7" s="55"/>
      <c r="L7" s="58"/>
      <c r="M7" s="55"/>
      <c r="N7" s="55"/>
      <c r="O7" s="55"/>
      <c r="P7" s="56"/>
      <c r="Q7" s="55"/>
    </row>
    <row r="8" spans="1:17" ht="4.05" customHeight="1" x14ac:dyDescent="0.3">
      <c r="A8" s="36"/>
      <c r="B8" s="49"/>
      <c r="C8" s="36"/>
      <c r="D8" s="36"/>
      <c r="E8" s="49"/>
      <c r="F8" s="49"/>
      <c r="G8" s="49"/>
      <c r="H8" s="50"/>
      <c r="I8" s="49"/>
      <c r="J8" s="49"/>
      <c r="K8" s="49"/>
      <c r="L8" s="51"/>
      <c r="M8" s="49"/>
      <c r="N8" s="36"/>
      <c r="O8" s="36"/>
      <c r="P8" s="49"/>
      <c r="Q8" s="36"/>
    </row>
    <row r="9" spans="1:17" ht="7.05" customHeight="1" x14ac:dyDescent="0.3">
      <c r="A9" s="36"/>
      <c r="B9" s="49"/>
      <c r="C9" s="36"/>
      <c r="D9" s="36"/>
      <c r="E9" s="36"/>
      <c r="F9" s="36"/>
      <c r="G9" s="36"/>
      <c r="H9" s="47"/>
      <c r="I9" s="36"/>
      <c r="J9" s="36"/>
      <c r="K9" s="36"/>
      <c r="L9" s="48"/>
      <c r="M9" s="36"/>
      <c r="N9" s="36"/>
      <c r="O9" s="36"/>
      <c r="P9" s="49"/>
      <c r="Q9" s="36"/>
    </row>
    <row r="10" spans="1:17" s="54" customFormat="1" x14ac:dyDescent="0.3">
      <c r="A10" s="7"/>
      <c r="B10" s="52"/>
      <c r="C10" s="7"/>
      <c r="D10" s="7"/>
      <c r="E10" s="7"/>
      <c r="F10" s="7" t="s">
        <v>153</v>
      </c>
      <c r="G10" s="7"/>
      <c r="H10" s="47"/>
      <c r="I10" s="7"/>
      <c r="J10" s="7"/>
      <c r="K10" s="7"/>
      <c r="L10" s="53"/>
      <c r="M10" s="7"/>
      <c r="N10" s="7"/>
      <c r="O10" s="7"/>
      <c r="P10" s="52"/>
      <c r="Q10" s="7"/>
    </row>
    <row r="11" spans="1:17" s="61" customFormat="1" x14ac:dyDescent="0.3">
      <c r="A11" s="47"/>
      <c r="B11" s="50"/>
      <c r="C11" s="47"/>
      <c r="D11" s="47"/>
      <c r="E11" s="47"/>
      <c r="F11" s="47" t="s">
        <v>154</v>
      </c>
      <c r="G11" s="47"/>
      <c r="H11" s="47" t="s">
        <v>155</v>
      </c>
      <c r="I11" s="47"/>
      <c r="J11" s="47"/>
      <c r="K11" s="47"/>
      <c r="L11" s="60" t="s">
        <v>156</v>
      </c>
      <c r="M11" s="47"/>
      <c r="N11" s="47"/>
      <c r="O11" s="47"/>
      <c r="P11" s="50"/>
      <c r="Q11" s="47"/>
    </row>
    <row r="12" spans="1:17" ht="1.95" customHeight="1" x14ac:dyDescent="0.3">
      <c r="A12" s="36"/>
      <c r="B12" s="49"/>
      <c r="C12" s="36"/>
      <c r="D12" s="36"/>
      <c r="E12" s="49"/>
      <c r="F12" s="49"/>
      <c r="G12" s="49"/>
      <c r="H12" s="50"/>
      <c r="I12" s="49"/>
      <c r="J12" s="49"/>
      <c r="K12" s="49"/>
      <c r="L12" s="51"/>
      <c r="M12" s="49"/>
      <c r="N12" s="36"/>
      <c r="O12" s="36"/>
      <c r="P12" s="49"/>
      <c r="Q12" s="36"/>
    </row>
    <row r="13" spans="1:17" x14ac:dyDescent="0.3">
      <c r="A13" s="36"/>
      <c r="B13" s="49"/>
      <c r="C13" s="36"/>
      <c r="D13" s="36"/>
      <c r="E13" s="36"/>
      <c r="F13" s="47"/>
      <c r="G13" s="36"/>
      <c r="H13" s="47"/>
      <c r="I13" s="36"/>
      <c r="J13" s="36"/>
      <c r="K13" s="36"/>
      <c r="L13" s="48"/>
      <c r="M13" s="36"/>
      <c r="N13" s="36"/>
      <c r="O13" s="36"/>
      <c r="P13" s="49"/>
      <c r="Q13" s="36"/>
    </row>
    <row r="14" spans="1:17" x14ac:dyDescent="0.3">
      <c r="A14" s="36"/>
      <c r="B14" s="49"/>
      <c r="C14" s="36"/>
      <c r="D14" s="36"/>
      <c r="E14" s="36"/>
      <c r="F14" s="47" t="s">
        <v>157</v>
      </c>
      <c r="G14" s="10" t="s">
        <v>10</v>
      </c>
      <c r="H14" s="13"/>
      <c r="I14" s="36"/>
      <c r="J14" s="36"/>
      <c r="K14" s="36"/>
      <c r="L14" s="48" t="s">
        <v>158</v>
      </c>
      <c r="M14" s="36"/>
      <c r="N14" s="36"/>
      <c r="O14" s="36"/>
      <c r="P14" s="49"/>
      <c r="Q14" s="36"/>
    </row>
    <row r="15" spans="1:17" ht="4.05" customHeight="1" x14ac:dyDescent="0.3">
      <c r="A15" s="36"/>
      <c r="B15" s="49"/>
      <c r="C15" s="36"/>
      <c r="D15" s="36"/>
      <c r="E15" s="36"/>
      <c r="F15" s="47"/>
      <c r="G15" s="36"/>
      <c r="H15" s="47"/>
      <c r="I15" s="36"/>
      <c r="J15" s="36"/>
      <c r="K15" s="36"/>
      <c r="L15" s="48"/>
      <c r="M15" s="36"/>
      <c r="N15" s="36"/>
      <c r="O15" s="36"/>
      <c r="P15" s="49"/>
      <c r="Q15" s="36"/>
    </row>
    <row r="16" spans="1:17" x14ac:dyDescent="0.3">
      <c r="A16" s="36"/>
      <c r="B16" s="49"/>
      <c r="C16" s="36"/>
      <c r="D16" s="36"/>
      <c r="E16" s="36"/>
      <c r="F16" s="47"/>
      <c r="G16" s="36"/>
      <c r="H16" s="47"/>
      <c r="I16" s="36"/>
      <c r="J16" s="36"/>
      <c r="K16" s="36"/>
      <c r="L16" s="48"/>
      <c r="M16" s="36"/>
      <c r="N16" s="36"/>
      <c r="O16" s="36"/>
      <c r="P16" s="49"/>
      <c r="Q16" s="36"/>
    </row>
    <row r="17" spans="1:17" x14ac:dyDescent="0.3">
      <c r="A17" s="36"/>
      <c r="B17" s="49"/>
      <c r="C17" s="36"/>
      <c r="D17" s="36"/>
      <c r="E17" s="36"/>
      <c r="F17" s="62" t="s">
        <v>159</v>
      </c>
      <c r="G17" s="36"/>
      <c r="H17" s="47" t="s">
        <v>160</v>
      </c>
      <c r="I17" s="36"/>
      <c r="J17" s="36"/>
      <c r="K17" s="36"/>
      <c r="L17" s="48" t="s">
        <v>161</v>
      </c>
      <c r="M17" s="36"/>
      <c r="N17" s="36"/>
      <c r="O17" s="36"/>
      <c r="P17" s="49"/>
      <c r="Q17" s="36"/>
    </row>
    <row r="18" spans="1:17" ht="4.95" customHeight="1" x14ac:dyDescent="0.3">
      <c r="A18" s="36"/>
      <c r="B18" s="49"/>
      <c r="C18" s="36"/>
      <c r="D18" s="36"/>
      <c r="E18" s="36"/>
      <c r="F18" s="47"/>
      <c r="G18" s="36"/>
      <c r="H18" s="47"/>
      <c r="I18" s="36"/>
      <c r="J18" s="36"/>
      <c r="K18" s="36"/>
      <c r="L18" s="48"/>
      <c r="M18" s="36"/>
      <c r="N18" s="36"/>
      <c r="O18" s="36"/>
      <c r="P18" s="49"/>
      <c r="Q18" s="36"/>
    </row>
    <row r="19" spans="1:17" ht="48" x14ac:dyDescent="0.3">
      <c r="A19" s="36"/>
      <c r="B19" s="49"/>
      <c r="C19" s="36"/>
      <c r="D19" s="36"/>
      <c r="E19" s="36"/>
      <c r="F19" s="47"/>
      <c r="G19" s="36"/>
      <c r="H19" s="47" t="s">
        <v>162</v>
      </c>
      <c r="I19" s="36"/>
      <c r="J19" s="36"/>
      <c r="K19" s="36"/>
      <c r="L19" s="48" t="s">
        <v>163</v>
      </c>
      <c r="M19" s="36"/>
      <c r="N19" s="36"/>
      <c r="O19" s="36"/>
      <c r="P19" s="49"/>
      <c r="Q19" s="36"/>
    </row>
    <row r="20" spans="1:17" ht="4.95" customHeight="1" x14ac:dyDescent="0.3">
      <c r="A20" s="36"/>
      <c r="B20" s="49"/>
      <c r="C20" s="36"/>
      <c r="D20" s="36"/>
      <c r="E20" s="36"/>
      <c r="F20" s="47"/>
      <c r="G20" s="36"/>
      <c r="H20" s="47"/>
      <c r="I20" s="36"/>
      <c r="J20" s="36"/>
      <c r="K20" s="36"/>
      <c r="L20" s="48"/>
      <c r="M20" s="36"/>
      <c r="N20" s="36"/>
      <c r="O20" s="36"/>
      <c r="P20" s="49"/>
      <c r="Q20" s="36"/>
    </row>
    <row r="21" spans="1:17" ht="60" x14ac:dyDescent="0.3">
      <c r="A21" s="36"/>
      <c r="B21" s="49"/>
      <c r="C21" s="36"/>
      <c r="D21" s="36"/>
      <c r="E21" s="36"/>
      <c r="F21" s="47"/>
      <c r="G21" s="36"/>
      <c r="H21" s="47" t="s">
        <v>164</v>
      </c>
      <c r="I21" s="36"/>
      <c r="J21" s="36"/>
      <c r="K21" s="36"/>
      <c r="L21" s="48" t="s">
        <v>165</v>
      </c>
      <c r="M21" s="36"/>
      <c r="N21" s="36"/>
      <c r="O21" s="36"/>
      <c r="P21" s="49"/>
      <c r="Q21" s="36"/>
    </row>
    <row r="22" spans="1:17" ht="4.95" customHeight="1" x14ac:dyDescent="0.3">
      <c r="A22" s="36"/>
      <c r="B22" s="49"/>
      <c r="C22" s="36"/>
      <c r="D22" s="36"/>
      <c r="E22" s="36"/>
      <c r="F22" s="47"/>
      <c r="G22" s="36"/>
      <c r="H22" s="47"/>
      <c r="I22" s="36"/>
      <c r="J22" s="36"/>
      <c r="K22" s="36"/>
      <c r="L22" s="48"/>
      <c r="M22" s="36"/>
      <c r="N22" s="36"/>
      <c r="O22" s="36"/>
      <c r="P22" s="49"/>
      <c r="Q22" s="36"/>
    </row>
    <row r="23" spans="1:17" ht="24" x14ac:dyDescent="0.3">
      <c r="A23" s="36"/>
      <c r="B23" s="49"/>
      <c r="C23" s="36"/>
      <c r="D23" s="36"/>
      <c r="E23" s="36"/>
      <c r="F23" s="47"/>
      <c r="G23" s="36"/>
      <c r="H23" s="47" t="s">
        <v>166</v>
      </c>
      <c r="I23" s="36"/>
      <c r="J23" s="36"/>
      <c r="K23" s="36"/>
      <c r="L23" s="48" t="s">
        <v>167</v>
      </c>
      <c r="M23" s="36"/>
      <c r="N23" s="36"/>
      <c r="O23" s="36"/>
      <c r="P23" s="49"/>
      <c r="Q23" s="36"/>
    </row>
    <row r="24" spans="1:17" ht="4.95" customHeight="1" x14ac:dyDescent="0.3">
      <c r="A24" s="36"/>
      <c r="B24" s="49"/>
      <c r="C24" s="36"/>
      <c r="D24" s="36"/>
      <c r="E24" s="36"/>
      <c r="F24" s="47"/>
      <c r="G24" s="36"/>
      <c r="H24" s="47"/>
      <c r="I24" s="36"/>
      <c r="J24" s="36"/>
      <c r="K24" s="36"/>
      <c r="L24" s="48"/>
      <c r="M24" s="36"/>
      <c r="N24" s="36"/>
      <c r="O24" s="36"/>
      <c r="P24" s="49"/>
      <c r="Q24" s="36"/>
    </row>
    <row r="25" spans="1:17" ht="48" x14ac:dyDescent="0.3">
      <c r="A25" s="36"/>
      <c r="B25" s="49"/>
      <c r="C25" s="36"/>
      <c r="D25" s="36"/>
      <c r="E25" s="36"/>
      <c r="F25" s="47"/>
      <c r="G25" s="36"/>
      <c r="H25" s="47" t="s">
        <v>168</v>
      </c>
      <c r="I25" s="36"/>
      <c r="J25" s="36"/>
      <c r="K25" s="36"/>
      <c r="L25" s="48" t="s">
        <v>169</v>
      </c>
      <c r="M25" s="36"/>
      <c r="N25" s="36"/>
      <c r="O25" s="36"/>
      <c r="P25" s="49"/>
      <c r="Q25" s="36"/>
    </row>
    <row r="26" spans="1:17" ht="4.95" customHeight="1" x14ac:dyDescent="0.3">
      <c r="A26" s="36"/>
      <c r="B26" s="49"/>
      <c r="C26" s="36"/>
      <c r="D26" s="36"/>
      <c r="E26" s="36"/>
      <c r="F26" s="47"/>
      <c r="G26" s="36"/>
      <c r="H26" s="47"/>
      <c r="I26" s="36"/>
      <c r="J26" s="36"/>
      <c r="K26" s="36"/>
      <c r="L26" s="48"/>
      <c r="M26" s="36"/>
      <c r="N26" s="36"/>
      <c r="O26" s="36"/>
      <c r="P26" s="49"/>
      <c r="Q26" s="36"/>
    </row>
    <row r="27" spans="1:17" ht="60" x14ac:dyDescent="0.3">
      <c r="A27" s="36"/>
      <c r="B27" s="49"/>
      <c r="C27" s="36"/>
      <c r="D27" s="36"/>
      <c r="E27" s="36"/>
      <c r="F27" s="47"/>
      <c r="G27" s="36"/>
      <c r="H27" s="47" t="s">
        <v>170</v>
      </c>
      <c r="I27" s="36"/>
      <c r="J27" s="36"/>
      <c r="K27" s="36"/>
      <c r="L27" s="48" t="s">
        <v>171</v>
      </c>
      <c r="M27" s="36"/>
      <c r="N27" s="36"/>
      <c r="O27" s="36"/>
      <c r="P27" s="49"/>
      <c r="Q27" s="36"/>
    </row>
    <row r="28" spans="1:17" ht="4.95" customHeight="1" x14ac:dyDescent="0.3">
      <c r="A28" s="36"/>
      <c r="B28" s="49"/>
      <c r="C28" s="36"/>
      <c r="D28" s="36"/>
      <c r="E28" s="36"/>
      <c r="F28" s="47"/>
      <c r="G28" s="36"/>
      <c r="H28" s="47"/>
      <c r="I28" s="36"/>
      <c r="J28" s="36"/>
      <c r="K28" s="36"/>
      <c r="L28" s="48"/>
      <c r="M28" s="36"/>
      <c r="N28" s="36"/>
      <c r="O28" s="36"/>
      <c r="P28" s="49"/>
      <c r="Q28" s="36"/>
    </row>
    <row r="29" spans="1:17" ht="36" x14ac:dyDescent="0.3">
      <c r="A29" s="36"/>
      <c r="B29" s="49"/>
      <c r="C29" s="36"/>
      <c r="D29" s="36"/>
      <c r="E29" s="36"/>
      <c r="F29" s="47"/>
      <c r="G29" s="36"/>
      <c r="H29" s="47" t="s">
        <v>172</v>
      </c>
      <c r="I29" s="36"/>
      <c r="J29" s="36"/>
      <c r="K29" s="36"/>
      <c r="L29" s="48" t="s">
        <v>173</v>
      </c>
      <c r="M29" s="36"/>
      <c r="N29" s="36"/>
      <c r="O29" s="36"/>
      <c r="P29" s="49"/>
      <c r="Q29" s="36"/>
    </row>
    <row r="30" spans="1:17" ht="4.95" customHeight="1" x14ac:dyDescent="0.3">
      <c r="A30" s="36"/>
      <c r="B30" s="49"/>
      <c r="C30" s="36"/>
      <c r="D30" s="36"/>
      <c r="E30" s="36"/>
      <c r="F30" s="47"/>
      <c r="G30" s="36"/>
      <c r="H30" s="47"/>
      <c r="I30" s="36"/>
      <c r="J30" s="36"/>
      <c r="K30" s="36"/>
      <c r="L30" s="48"/>
      <c r="M30" s="36"/>
      <c r="N30" s="36"/>
      <c r="O30" s="36"/>
      <c r="P30" s="49"/>
      <c r="Q30" s="36"/>
    </row>
    <row r="31" spans="1:17" ht="48" x14ac:dyDescent="0.3">
      <c r="A31" s="36"/>
      <c r="B31" s="49"/>
      <c r="C31" s="36"/>
      <c r="D31" s="36"/>
      <c r="E31" s="36"/>
      <c r="F31" s="47"/>
      <c r="G31" s="36"/>
      <c r="H31" s="47" t="s">
        <v>174</v>
      </c>
      <c r="I31" s="36"/>
      <c r="J31" s="36"/>
      <c r="K31" s="36"/>
      <c r="L31" s="48" t="s">
        <v>175</v>
      </c>
      <c r="M31" s="36"/>
      <c r="N31" s="36"/>
      <c r="O31" s="36"/>
      <c r="P31" s="49"/>
      <c r="Q31" s="36"/>
    </row>
    <row r="32" spans="1:17" ht="4.95" customHeight="1" x14ac:dyDescent="0.3">
      <c r="A32" s="36"/>
      <c r="B32" s="49"/>
      <c r="C32" s="36"/>
      <c r="D32" s="36"/>
      <c r="E32" s="36"/>
      <c r="F32" s="47"/>
      <c r="G32" s="36"/>
      <c r="H32" s="47"/>
      <c r="I32" s="36"/>
      <c r="J32" s="36"/>
      <c r="K32" s="36"/>
      <c r="L32" s="48"/>
      <c r="M32" s="36"/>
      <c r="N32" s="36"/>
      <c r="O32" s="36"/>
      <c r="P32" s="49"/>
      <c r="Q32" s="36"/>
    </row>
    <row r="33" spans="1:17" ht="36" x14ac:dyDescent="0.3">
      <c r="A33" s="36"/>
      <c r="B33" s="49"/>
      <c r="C33" s="36"/>
      <c r="D33" s="36"/>
      <c r="E33" s="36"/>
      <c r="F33" s="47"/>
      <c r="G33" s="36"/>
      <c r="H33" s="47" t="s">
        <v>176</v>
      </c>
      <c r="I33" s="36"/>
      <c r="J33" s="36"/>
      <c r="K33" s="36"/>
      <c r="L33" s="48" t="s">
        <v>177</v>
      </c>
      <c r="M33" s="36"/>
      <c r="N33" s="36"/>
      <c r="O33" s="36"/>
      <c r="P33" s="49"/>
      <c r="Q33" s="36"/>
    </row>
    <row r="34" spans="1:17" ht="4.95" customHeight="1" x14ac:dyDescent="0.3">
      <c r="A34" s="36"/>
      <c r="B34" s="49"/>
      <c r="C34" s="36"/>
      <c r="D34" s="36"/>
      <c r="E34" s="36"/>
      <c r="F34" s="47"/>
      <c r="G34" s="36"/>
      <c r="H34" s="47"/>
      <c r="I34" s="36"/>
      <c r="J34" s="36"/>
      <c r="K34" s="36"/>
      <c r="L34" s="48"/>
      <c r="M34" s="36"/>
      <c r="N34" s="36"/>
      <c r="O34" s="36"/>
      <c r="P34" s="49"/>
      <c r="Q34" s="36"/>
    </row>
    <row r="35" spans="1:17" ht="36" x14ac:dyDescent="0.3">
      <c r="A35" s="36"/>
      <c r="B35" s="49"/>
      <c r="C35" s="36"/>
      <c r="D35" s="36"/>
      <c r="E35" s="36"/>
      <c r="F35" s="47"/>
      <c r="G35" s="36"/>
      <c r="H35" s="47" t="s">
        <v>178</v>
      </c>
      <c r="I35" s="36"/>
      <c r="J35" s="36"/>
      <c r="K35" s="36"/>
      <c r="L35" s="48" t="s">
        <v>179</v>
      </c>
      <c r="M35" s="36"/>
      <c r="N35" s="36"/>
      <c r="O35" s="36"/>
      <c r="P35" s="49"/>
      <c r="Q35" s="36"/>
    </row>
    <row r="36" spans="1:17" ht="4.95" customHeight="1" x14ac:dyDescent="0.3">
      <c r="A36" s="36"/>
      <c r="B36" s="49"/>
      <c r="C36" s="36"/>
      <c r="D36" s="36"/>
      <c r="E36" s="36"/>
      <c r="F36" s="47"/>
      <c r="G36" s="36"/>
      <c r="H36" s="47"/>
      <c r="I36" s="36"/>
      <c r="J36" s="36"/>
      <c r="K36" s="36"/>
      <c r="L36" s="48"/>
      <c r="M36" s="36"/>
      <c r="N36" s="36"/>
      <c r="O36" s="36"/>
      <c r="P36" s="49"/>
      <c r="Q36" s="36"/>
    </row>
    <row r="37" spans="1:17" ht="36" x14ac:dyDescent="0.3">
      <c r="A37" s="36"/>
      <c r="B37" s="49"/>
      <c r="C37" s="36"/>
      <c r="D37" s="36"/>
      <c r="E37" s="36"/>
      <c r="F37" s="47"/>
      <c r="G37" s="36"/>
      <c r="H37" s="47" t="s">
        <v>180</v>
      </c>
      <c r="I37" s="36"/>
      <c r="J37" s="36"/>
      <c r="K37" s="36"/>
      <c r="L37" s="48" t="s">
        <v>181</v>
      </c>
      <c r="M37" s="36"/>
      <c r="N37" s="36"/>
      <c r="O37" s="36"/>
      <c r="P37" s="49"/>
      <c r="Q37" s="36"/>
    </row>
    <row r="38" spans="1:17" ht="4.95" customHeight="1" x14ac:dyDescent="0.3">
      <c r="A38" s="36"/>
      <c r="B38" s="49"/>
      <c r="C38" s="36"/>
      <c r="D38" s="36"/>
      <c r="E38" s="36"/>
      <c r="F38" s="47"/>
      <c r="G38" s="36"/>
      <c r="H38" s="47"/>
      <c r="I38" s="36"/>
      <c r="J38" s="36"/>
      <c r="K38" s="36"/>
      <c r="L38" s="48"/>
      <c r="M38" s="36"/>
      <c r="N38" s="36"/>
      <c r="O38" s="36"/>
      <c r="P38" s="49"/>
      <c r="Q38" s="36"/>
    </row>
    <row r="39" spans="1:17" ht="4.95" customHeight="1" x14ac:dyDescent="0.3">
      <c r="A39" s="36"/>
      <c r="B39" s="49"/>
      <c r="C39" s="36"/>
      <c r="D39" s="36"/>
      <c r="E39" s="36"/>
      <c r="F39" s="47"/>
      <c r="G39" s="36"/>
      <c r="H39" s="47"/>
      <c r="I39" s="36"/>
      <c r="J39" s="36"/>
      <c r="K39" s="36"/>
      <c r="L39" s="48"/>
      <c r="M39" s="36"/>
      <c r="N39" s="36"/>
      <c r="O39" s="36"/>
      <c r="P39" s="49"/>
      <c r="Q39" s="36"/>
    </row>
    <row r="40" spans="1:17" x14ac:dyDescent="0.3">
      <c r="A40" s="36"/>
      <c r="B40" s="49"/>
      <c r="C40" s="36"/>
      <c r="D40" s="36"/>
      <c r="E40" s="36"/>
      <c r="F40" s="63" t="s">
        <v>182</v>
      </c>
      <c r="G40" s="36"/>
      <c r="H40" s="47"/>
      <c r="I40" s="36"/>
      <c r="J40" s="36"/>
      <c r="K40" s="36"/>
      <c r="L40" s="48" t="s">
        <v>183</v>
      </c>
      <c r="M40" s="36"/>
      <c r="N40" s="36"/>
      <c r="O40" s="36"/>
      <c r="P40" s="49"/>
      <c r="Q40" s="36"/>
    </row>
    <row r="41" spans="1:17" ht="24" x14ac:dyDescent="0.3">
      <c r="A41" s="36"/>
      <c r="B41" s="49"/>
      <c r="C41" s="36"/>
      <c r="D41" s="36"/>
      <c r="E41" s="36"/>
      <c r="F41" s="47"/>
      <c r="G41" s="36"/>
      <c r="H41" s="47"/>
      <c r="I41" s="36"/>
      <c r="J41" s="36"/>
      <c r="K41" s="36"/>
      <c r="L41" s="48" t="s">
        <v>184</v>
      </c>
      <c r="M41" s="36"/>
      <c r="N41" s="36"/>
      <c r="O41" s="36"/>
      <c r="P41" s="49"/>
      <c r="Q41" s="36"/>
    </row>
    <row r="42" spans="1:17" ht="4.95" customHeight="1" x14ac:dyDescent="0.3">
      <c r="A42" s="36"/>
      <c r="B42" s="49"/>
      <c r="C42" s="36"/>
      <c r="D42" s="36"/>
      <c r="E42" s="36"/>
      <c r="F42" s="47"/>
      <c r="G42" s="36"/>
      <c r="H42" s="47"/>
      <c r="I42" s="36"/>
      <c r="J42" s="36"/>
      <c r="K42" s="36"/>
      <c r="L42" s="48"/>
      <c r="M42" s="36"/>
      <c r="N42" s="36"/>
      <c r="O42" s="36"/>
      <c r="P42" s="49"/>
      <c r="Q42" s="36"/>
    </row>
    <row r="43" spans="1:17" x14ac:dyDescent="0.3">
      <c r="A43" s="36"/>
      <c r="B43" s="49"/>
      <c r="C43" s="36"/>
      <c r="D43" s="36"/>
      <c r="E43" s="36"/>
      <c r="F43" s="64" t="s">
        <v>6</v>
      </c>
      <c r="G43" s="36"/>
      <c r="H43" s="47"/>
      <c r="I43" s="36"/>
      <c r="J43" s="36"/>
      <c r="K43" s="36"/>
      <c r="L43" s="48" t="s">
        <v>185</v>
      </c>
      <c r="M43" s="36"/>
      <c r="N43" s="36"/>
      <c r="O43" s="36"/>
      <c r="P43" s="49"/>
      <c r="Q43" s="36"/>
    </row>
    <row r="44" spans="1:17" ht="4.95" customHeight="1" x14ac:dyDescent="0.3">
      <c r="A44" s="36"/>
      <c r="B44" s="49"/>
      <c r="C44" s="36"/>
      <c r="D44" s="36"/>
      <c r="E44" s="36"/>
      <c r="F44" s="47"/>
      <c r="G44" s="36"/>
      <c r="H44" s="47"/>
      <c r="I44" s="36"/>
      <c r="J44" s="36"/>
      <c r="K44" s="36"/>
      <c r="L44" s="48"/>
      <c r="M44" s="36"/>
      <c r="N44" s="36"/>
      <c r="O44" s="36"/>
      <c r="P44" s="49"/>
      <c r="Q44" s="36"/>
    </row>
    <row r="45" spans="1:17" x14ac:dyDescent="0.3">
      <c r="A45" s="36"/>
      <c r="B45" s="49"/>
      <c r="C45" s="36"/>
      <c r="D45" s="36"/>
      <c r="E45" s="36"/>
      <c r="F45" s="64" t="s">
        <v>186</v>
      </c>
      <c r="G45" s="36"/>
      <c r="H45" s="47"/>
      <c r="I45" s="36"/>
      <c r="J45" s="36"/>
      <c r="K45" s="36"/>
      <c r="L45" s="48" t="s">
        <v>187</v>
      </c>
      <c r="M45" s="36"/>
      <c r="N45" s="36"/>
      <c r="O45" s="36"/>
      <c r="P45" s="49"/>
      <c r="Q45" s="36"/>
    </row>
    <row r="46" spans="1:17" ht="4.95" customHeight="1" x14ac:dyDescent="0.3">
      <c r="A46" s="36"/>
      <c r="B46" s="49"/>
      <c r="C46" s="36"/>
      <c r="D46" s="36"/>
      <c r="E46" s="36"/>
      <c r="F46" s="47"/>
      <c r="G46" s="36"/>
      <c r="H46" s="47"/>
      <c r="I46" s="36"/>
      <c r="J46" s="36"/>
      <c r="K46" s="36"/>
      <c r="L46" s="48"/>
      <c r="M46" s="36"/>
      <c r="N46" s="36"/>
      <c r="O46" s="36"/>
      <c r="P46" s="49"/>
      <c r="Q46" s="36"/>
    </row>
    <row r="47" spans="1:17" x14ac:dyDescent="0.3">
      <c r="A47" s="36"/>
      <c r="B47" s="49"/>
      <c r="C47" s="36"/>
      <c r="D47" s="36"/>
      <c r="E47" s="36"/>
      <c r="F47" s="47"/>
      <c r="G47" s="36"/>
      <c r="H47" s="47"/>
      <c r="I47" s="36"/>
      <c r="J47" s="36"/>
      <c r="K47" s="36"/>
      <c r="L47" s="48"/>
      <c r="M47" s="36"/>
      <c r="N47" s="36"/>
      <c r="O47" s="36"/>
      <c r="P47" s="49"/>
      <c r="Q47" s="36"/>
    </row>
    <row r="48" spans="1:17" x14ac:dyDescent="0.3">
      <c r="A48" s="36"/>
      <c r="B48" s="49"/>
      <c r="C48" s="36"/>
      <c r="D48" s="36"/>
      <c r="E48" s="36"/>
      <c r="F48" s="47"/>
      <c r="G48" s="36"/>
      <c r="H48" s="47"/>
      <c r="I48" s="36"/>
      <c r="J48" s="36"/>
      <c r="K48" s="36"/>
      <c r="L48" s="48"/>
      <c r="M48" s="36"/>
      <c r="N48" s="36"/>
      <c r="O48" s="36"/>
      <c r="P48" s="49"/>
      <c r="Q48" s="36"/>
    </row>
    <row r="49" spans="1:17" ht="4.95" customHeight="1" x14ac:dyDescent="0.3">
      <c r="A49" s="36"/>
      <c r="B49" s="49"/>
      <c r="C49" s="49"/>
      <c r="D49" s="49"/>
      <c r="E49" s="49"/>
      <c r="F49" s="49"/>
      <c r="G49" s="49"/>
      <c r="H49" s="50"/>
      <c r="I49" s="49"/>
      <c r="J49" s="49"/>
      <c r="K49" s="49"/>
      <c r="L49" s="51"/>
      <c r="M49" s="49"/>
      <c r="N49" s="49"/>
      <c r="O49" s="49"/>
      <c r="P49" s="49"/>
      <c r="Q49" s="36"/>
    </row>
    <row r="50" spans="1:17" x14ac:dyDescent="0.3">
      <c r="A50" s="36"/>
      <c r="B50" s="36"/>
      <c r="C50" s="36"/>
      <c r="D50" s="36"/>
      <c r="E50" s="36"/>
      <c r="F50" s="36"/>
      <c r="G50" s="36"/>
      <c r="H50" s="47"/>
      <c r="I50" s="36"/>
      <c r="J50" s="36"/>
      <c r="K50" s="36"/>
      <c r="L50" s="48"/>
      <c r="M50" s="36"/>
      <c r="N50" s="36"/>
      <c r="O50" s="36"/>
      <c r="P50" s="36"/>
      <c r="Q50" s="36"/>
    </row>
  </sheetData>
  <conditionalFormatting sqref="H14">
    <cfRule type="containsBlanks" dxfId="0" priority="1">
      <formula>LEN(TRIM(H14))=0</formula>
    </cfRule>
  </conditionalFormatting>
  <dataValidations count="1">
    <dataValidation type="whole" operator="greaterThan" allowBlank="1" showInputMessage="1" showErrorMessage="1" sqref="H1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M397"/>
  <sheetViews>
    <sheetView showGridLines="0" workbookViewId="0">
      <pane xSplit="10" ySplit="7" topLeftCell="K8" activePane="bottomRight" state="frozen"/>
      <selection pane="topRight" activeCell="K1" sqref="K1"/>
      <selection pane="bottomLeft" activeCell="A8" sqref="A8"/>
      <selection pane="bottomRight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8.109375" style="8" bestFit="1" customWidth="1"/>
    <col min="5" max="5" width="1.6640625" style="2" customWidth="1"/>
    <col min="6" max="6" width="52" style="2" bestFit="1" customWidth="1"/>
    <col min="7" max="7" width="1.6640625" style="2" customWidth="1"/>
    <col min="8" max="8" width="9.109375" style="2"/>
    <col min="9" max="11" width="1.6640625" style="2" customWidth="1"/>
    <col min="12" max="12" width="1.6640625" style="12" customWidth="1"/>
    <col min="13" max="37" width="7.6640625" style="2" customWidth="1"/>
    <col min="38" max="39" width="1.6640625" style="2" customWidth="1"/>
    <col min="40" max="16384" width="9.109375" style="2"/>
  </cols>
  <sheetData>
    <row r="1" spans="1:39" x14ac:dyDescent="0.25">
      <c r="A1" s="1"/>
      <c r="B1" s="1"/>
      <c r="C1" s="1"/>
      <c r="D1" s="7"/>
      <c r="E1" s="1"/>
      <c r="F1" s="1"/>
      <c r="G1" s="1"/>
      <c r="H1" s="1"/>
      <c r="I1" s="1"/>
      <c r="J1" s="1"/>
      <c r="K1" s="1"/>
      <c r="L1" s="10"/>
      <c r="M1" s="22">
        <v>1</v>
      </c>
      <c r="N1" s="22">
        <f>M1+1</f>
        <v>2</v>
      </c>
      <c r="O1" s="22">
        <f t="shared" ref="O1:AK1" si="0">N1+1</f>
        <v>3</v>
      </c>
      <c r="P1" s="22">
        <f t="shared" si="0"/>
        <v>4</v>
      </c>
      <c r="Q1" s="22">
        <f t="shared" si="0"/>
        <v>5</v>
      </c>
      <c r="R1" s="22">
        <f t="shared" si="0"/>
        <v>6</v>
      </c>
      <c r="S1" s="22">
        <f t="shared" si="0"/>
        <v>7</v>
      </c>
      <c r="T1" s="22">
        <f t="shared" si="0"/>
        <v>8</v>
      </c>
      <c r="U1" s="22">
        <f t="shared" si="0"/>
        <v>9</v>
      </c>
      <c r="V1" s="22">
        <f t="shared" si="0"/>
        <v>10</v>
      </c>
      <c r="W1" s="22">
        <f t="shared" si="0"/>
        <v>11</v>
      </c>
      <c r="X1" s="22">
        <f t="shared" si="0"/>
        <v>12</v>
      </c>
      <c r="Y1" s="22">
        <f t="shared" si="0"/>
        <v>13</v>
      </c>
      <c r="Z1" s="22">
        <f t="shared" si="0"/>
        <v>14</v>
      </c>
      <c r="AA1" s="22">
        <f t="shared" si="0"/>
        <v>15</v>
      </c>
      <c r="AB1" s="22">
        <f t="shared" si="0"/>
        <v>16</v>
      </c>
      <c r="AC1" s="22">
        <f t="shared" si="0"/>
        <v>17</v>
      </c>
      <c r="AD1" s="22">
        <f t="shared" si="0"/>
        <v>18</v>
      </c>
      <c r="AE1" s="22">
        <f t="shared" si="0"/>
        <v>19</v>
      </c>
      <c r="AF1" s="22">
        <f t="shared" si="0"/>
        <v>20</v>
      </c>
      <c r="AG1" s="22">
        <f t="shared" si="0"/>
        <v>21</v>
      </c>
      <c r="AH1" s="22">
        <f t="shared" si="0"/>
        <v>22</v>
      </c>
      <c r="AI1" s="22">
        <f t="shared" si="0"/>
        <v>23</v>
      </c>
      <c r="AJ1" s="22">
        <f t="shared" si="0"/>
        <v>24</v>
      </c>
      <c r="AK1" s="22">
        <f t="shared" si="0"/>
        <v>25</v>
      </c>
      <c r="AL1" s="1"/>
      <c r="AM1" s="1"/>
    </row>
    <row r="2" spans="1:39" x14ac:dyDescent="0.25">
      <c r="A2" s="1"/>
      <c r="B2" s="1"/>
      <c r="C2" s="7" t="s">
        <v>119</v>
      </c>
      <c r="D2" s="7"/>
      <c r="E2" s="1"/>
      <c r="F2" s="1"/>
      <c r="G2" s="1"/>
      <c r="H2" s="1"/>
      <c r="I2" s="1"/>
      <c r="J2" s="1"/>
      <c r="K2" s="1"/>
      <c r="L2" s="10"/>
      <c r="M2" s="22">
        <f>MAX(1:1)</f>
        <v>25</v>
      </c>
      <c r="N2" s="22">
        <f>M2-1</f>
        <v>24</v>
      </c>
      <c r="O2" s="22">
        <f t="shared" ref="O2:AK2" si="1">N2-1</f>
        <v>23</v>
      </c>
      <c r="P2" s="22">
        <f t="shared" si="1"/>
        <v>22</v>
      </c>
      <c r="Q2" s="22">
        <f t="shared" si="1"/>
        <v>21</v>
      </c>
      <c r="R2" s="22">
        <f t="shared" si="1"/>
        <v>20</v>
      </c>
      <c r="S2" s="22">
        <f t="shared" si="1"/>
        <v>19</v>
      </c>
      <c r="T2" s="22">
        <f t="shared" si="1"/>
        <v>18</v>
      </c>
      <c r="U2" s="22">
        <f t="shared" si="1"/>
        <v>17</v>
      </c>
      <c r="V2" s="22">
        <f t="shared" si="1"/>
        <v>16</v>
      </c>
      <c r="W2" s="22">
        <f t="shared" si="1"/>
        <v>15</v>
      </c>
      <c r="X2" s="22">
        <f t="shared" si="1"/>
        <v>14</v>
      </c>
      <c r="Y2" s="22">
        <f t="shared" si="1"/>
        <v>13</v>
      </c>
      <c r="Z2" s="22">
        <f t="shared" si="1"/>
        <v>12</v>
      </c>
      <c r="AA2" s="22">
        <f t="shared" si="1"/>
        <v>11</v>
      </c>
      <c r="AB2" s="22">
        <f t="shared" si="1"/>
        <v>10</v>
      </c>
      <c r="AC2" s="22">
        <f t="shared" si="1"/>
        <v>9</v>
      </c>
      <c r="AD2" s="22">
        <f t="shared" si="1"/>
        <v>8</v>
      </c>
      <c r="AE2" s="22">
        <f t="shared" si="1"/>
        <v>7</v>
      </c>
      <c r="AF2" s="22">
        <f t="shared" si="1"/>
        <v>6</v>
      </c>
      <c r="AG2" s="22">
        <f t="shared" si="1"/>
        <v>5</v>
      </c>
      <c r="AH2" s="22">
        <f t="shared" si="1"/>
        <v>4</v>
      </c>
      <c r="AI2" s="22">
        <f t="shared" si="1"/>
        <v>3</v>
      </c>
      <c r="AJ2" s="22">
        <f t="shared" si="1"/>
        <v>2</v>
      </c>
      <c r="AK2" s="22">
        <f t="shared" si="1"/>
        <v>1</v>
      </c>
      <c r="AL2" s="1"/>
      <c r="AM2" s="1"/>
    </row>
    <row r="3" spans="1:39" x14ac:dyDescent="0.25">
      <c r="A3" s="1"/>
      <c r="B3" s="1"/>
      <c r="C3" s="7" t="s">
        <v>120</v>
      </c>
      <c r="D3" s="7"/>
      <c r="E3" s="1"/>
      <c r="F3" s="1"/>
      <c r="G3" s="1"/>
      <c r="H3" s="1"/>
      <c r="I3" s="1"/>
      <c r="J3" s="1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"/>
      <c r="B4" s="1"/>
      <c r="C4" s="7" t="s">
        <v>121</v>
      </c>
      <c r="D4" s="7"/>
      <c r="E4" s="1"/>
      <c r="F4" s="1"/>
      <c r="G4" s="1"/>
      <c r="H4" s="1"/>
      <c r="I4" s="1"/>
      <c r="J4" s="1"/>
      <c r="K4" s="1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"/>
      <c r="B5" s="1"/>
      <c r="C5" s="10" t="s">
        <v>10</v>
      </c>
      <c r="D5" s="13"/>
      <c r="E5" s="33" t="s">
        <v>122</v>
      </c>
      <c r="F5" s="34" t="s">
        <v>123</v>
      </c>
      <c r="G5" s="1"/>
      <c r="H5" s="1"/>
      <c r="I5" s="1"/>
      <c r="J5" s="1"/>
      <c r="K5" s="1"/>
      <c r="L5" s="10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8" customFormat="1" x14ac:dyDescent="0.25">
      <c r="A6" s="7"/>
      <c r="B6" s="7"/>
      <c r="C6" s="7"/>
      <c r="D6" s="7"/>
      <c r="E6" s="7"/>
      <c r="F6" s="35" t="s">
        <v>126</v>
      </c>
      <c r="G6" s="7"/>
      <c r="H6" s="7"/>
      <c r="I6" s="46" t="s">
        <v>151</v>
      </c>
      <c r="J6" s="7"/>
      <c r="K6" s="7"/>
      <c r="L6" s="10" t="s">
        <v>10</v>
      </c>
      <c r="M6" s="14">
        <v>44378</v>
      </c>
      <c r="N6" s="15">
        <f>IF(M7="","",M7+1)</f>
        <v>44409</v>
      </c>
      <c r="O6" s="15">
        <f t="shared" ref="O6:AK6" si="2">IF(N7="","",N7+1)</f>
        <v>44440</v>
      </c>
      <c r="P6" s="15">
        <f t="shared" si="2"/>
        <v>44470</v>
      </c>
      <c r="Q6" s="15">
        <f t="shared" si="2"/>
        <v>44501</v>
      </c>
      <c r="R6" s="15">
        <f t="shared" si="2"/>
        <v>44531</v>
      </c>
      <c r="S6" s="15">
        <f t="shared" si="2"/>
        <v>44562</v>
      </c>
      <c r="T6" s="15">
        <f t="shared" si="2"/>
        <v>44593</v>
      </c>
      <c r="U6" s="15">
        <f t="shared" si="2"/>
        <v>44621</v>
      </c>
      <c r="V6" s="15">
        <f t="shared" si="2"/>
        <v>44652</v>
      </c>
      <c r="W6" s="15">
        <f t="shared" si="2"/>
        <v>44682</v>
      </c>
      <c r="X6" s="15">
        <f t="shared" si="2"/>
        <v>44713</v>
      </c>
      <c r="Y6" s="15">
        <f t="shared" si="2"/>
        <v>44743</v>
      </c>
      <c r="Z6" s="15">
        <f t="shared" si="2"/>
        <v>44774</v>
      </c>
      <c r="AA6" s="15">
        <f t="shared" si="2"/>
        <v>44805</v>
      </c>
      <c r="AB6" s="15">
        <f t="shared" si="2"/>
        <v>44835</v>
      </c>
      <c r="AC6" s="15">
        <f t="shared" si="2"/>
        <v>44866</v>
      </c>
      <c r="AD6" s="15">
        <f t="shared" si="2"/>
        <v>44896</v>
      </c>
      <c r="AE6" s="15">
        <f t="shared" si="2"/>
        <v>44927</v>
      </c>
      <c r="AF6" s="15">
        <f t="shared" si="2"/>
        <v>44958</v>
      </c>
      <c r="AG6" s="15">
        <f t="shared" si="2"/>
        <v>44986</v>
      </c>
      <c r="AH6" s="15">
        <f t="shared" si="2"/>
        <v>45017</v>
      </c>
      <c r="AI6" s="15">
        <f t="shared" si="2"/>
        <v>45047</v>
      </c>
      <c r="AJ6" s="15">
        <f t="shared" si="2"/>
        <v>45078</v>
      </c>
      <c r="AK6" s="15">
        <f t="shared" si="2"/>
        <v>45108</v>
      </c>
      <c r="AL6" s="7"/>
      <c r="AM6" s="7"/>
    </row>
    <row r="7" spans="1:39" s="8" customFormat="1" x14ac:dyDescent="0.25">
      <c r="A7" s="7"/>
      <c r="B7" s="7"/>
      <c r="C7" s="7"/>
      <c r="D7" s="7" t="str">
        <f>структура!$D$7</f>
        <v>разделы</v>
      </c>
      <c r="E7" s="7"/>
      <c r="F7" s="7" t="s">
        <v>0</v>
      </c>
      <c r="G7" s="7"/>
      <c r="H7" s="7" t="str">
        <f>KPI!$H$7</f>
        <v>ед. изм.</v>
      </c>
      <c r="I7" s="7"/>
      <c r="J7" s="7"/>
      <c r="K7" s="7"/>
      <c r="L7" s="10"/>
      <c r="M7" s="15">
        <f>IF(M6="","",EOMONTH(M6,0))</f>
        <v>44408</v>
      </c>
      <c r="N7" s="15">
        <f t="shared" ref="N7" si="3">IF(N6="","",EOMONTH(N6,0))</f>
        <v>44439</v>
      </c>
      <c r="O7" s="15">
        <f t="shared" ref="O7" si="4">IF(O6="","",EOMONTH(O6,0))</f>
        <v>44469</v>
      </c>
      <c r="P7" s="15">
        <f t="shared" ref="P7" si="5">IF(P6="","",EOMONTH(P6,0))</f>
        <v>44500</v>
      </c>
      <c r="Q7" s="15">
        <f t="shared" ref="Q7" si="6">IF(Q6="","",EOMONTH(Q6,0))</f>
        <v>44530</v>
      </c>
      <c r="R7" s="15">
        <f t="shared" ref="R7" si="7">IF(R6="","",EOMONTH(R6,0))</f>
        <v>44561</v>
      </c>
      <c r="S7" s="15">
        <f t="shared" ref="S7" si="8">IF(S6="","",EOMONTH(S6,0))</f>
        <v>44592</v>
      </c>
      <c r="T7" s="15">
        <f t="shared" ref="T7" si="9">IF(T6="","",EOMONTH(T6,0))</f>
        <v>44620</v>
      </c>
      <c r="U7" s="15">
        <f t="shared" ref="U7" si="10">IF(U6="","",EOMONTH(U6,0))</f>
        <v>44651</v>
      </c>
      <c r="V7" s="15">
        <f t="shared" ref="V7" si="11">IF(V6="","",EOMONTH(V6,0))</f>
        <v>44681</v>
      </c>
      <c r="W7" s="15">
        <f t="shared" ref="W7" si="12">IF(W6="","",EOMONTH(W6,0))</f>
        <v>44712</v>
      </c>
      <c r="X7" s="15">
        <f t="shared" ref="X7" si="13">IF(X6="","",EOMONTH(X6,0))</f>
        <v>44742</v>
      </c>
      <c r="Y7" s="15">
        <f t="shared" ref="Y7" si="14">IF(Y6="","",EOMONTH(Y6,0))</f>
        <v>44773</v>
      </c>
      <c r="Z7" s="15">
        <f t="shared" ref="Z7" si="15">IF(Z6="","",EOMONTH(Z6,0))</f>
        <v>44804</v>
      </c>
      <c r="AA7" s="15">
        <f t="shared" ref="AA7" si="16">IF(AA6="","",EOMONTH(AA6,0))</f>
        <v>44834</v>
      </c>
      <c r="AB7" s="15">
        <f t="shared" ref="AB7" si="17">IF(AB6="","",EOMONTH(AB6,0))</f>
        <v>44865</v>
      </c>
      <c r="AC7" s="15">
        <f t="shared" ref="AC7" si="18">IF(AC6="","",EOMONTH(AC6,0))</f>
        <v>44895</v>
      </c>
      <c r="AD7" s="15">
        <f t="shared" ref="AD7" si="19">IF(AD6="","",EOMONTH(AD6,0))</f>
        <v>44926</v>
      </c>
      <c r="AE7" s="15">
        <f t="shared" ref="AE7" si="20">IF(AE6="","",EOMONTH(AE6,0))</f>
        <v>44957</v>
      </c>
      <c r="AF7" s="15">
        <f t="shared" ref="AF7" si="21">IF(AF6="","",EOMONTH(AF6,0))</f>
        <v>44985</v>
      </c>
      <c r="AG7" s="15">
        <f t="shared" ref="AG7" si="22">IF(AG6="","",EOMONTH(AG6,0))</f>
        <v>45016</v>
      </c>
      <c r="AH7" s="15">
        <f t="shared" ref="AH7" si="23">IF(AH6="","",EOMONTH(AH6,0))</f>
        <v>45046</v>
      </c>
      <c r="AI7" s="15">
        <f t="shared" ref="AI7" si="24">IF(AI6="","",EOMONTH(AI6,0))</f>
        <v>45077</v>
      </c>
      <c r="AJ7" s="15">
        <f t="shared" ref="AJ7" si="25">IF(AJ6="","",EOMONTH(AJ6,0))</f>
        <v>45107</v>
      </c>
      <c r="AK7" s="15">
        <f t="shared" ref="AK7" si="26">IF(AK6="","",EOMONTH(AK6,0))</f>
        <v>45138</v>
      </c>
      <c r="AL7" s="7"/>
      <c r="AM7" s="7"/>
    </row>
    <row r="8" spans="1:39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8" customFormat="1" x14ac:dyDescent="0.25">
      <c r="A10" s="7"/>
      <c r="B10" s="7"/>
      <c r="C10" s="7"/>
      <c r="D10" s="7" t="str">
        <f>структура!$D$9</f>
        <v>Доходы</v>
      </c>
      <c r="E10" s="7"/>
      <c r="F10" s="7" t="str">
        <f>KPI!$F$9</f>
        <v>количество парковок в управлении</v>
      </c>
      <c r="G10" s="7"/>
      <c r="H10" s="7" t="str">
        <f>INDEX(KPI!$H:$H,SUMIFS(KPI!$D:$D,KPI!$F:$F,$F10))</f>
        <v>кол-во</v>
      </c>
      <c r="I10" s="7"/>
      <c r="J10" s="7"/>
      <c r="K10" s="7"/>
      <c r="L10" s="10"/>
      <c r="M10" s="17">
        <f>SUM(M11:M13)</f>
        <v>156</v>
      </c>
      <c r="N10" s="17">
        <f t="shared" ref="N10:AK10" si="27">SUM(N11:N13)</f>
        <v>165</v>
      </c>
      <c r="O10" s="17">
        <f t="shared" si="27"/>
        <v>173</v>
      </c>
      <c r="P10" s="17">
        <f t="shared" si="27"/>
        <v>174</v>
      </c>
      <c r="Q10" s="17">
        <f t="shared" si="27"/>
        <v>182</v>
      </c>
      <c r="R10" s="17">
        <f t="shared" si="27"/>
        <v>192</v>
      </c>
      <c r="S10" s="17">
        <f t="shared" si="27"/>
        <v>201</v>
      </c>
      <c r="T10" s="17">
        <f t="shared" si="27"/>
        <v>209</v>
      </c>
      <c r="U10" s="17">
        <f t="shared" si="27"/>
        <v>220</v>
      </c>
      <c r="V10" s="17">
        <f t="shared" si="27"/>
        <v>235</v>
      </c>
      <c r="W10" s="17">
        <f t="shared" si="27"/>
        <v>240</v>
      </c>
      <c r="X10" s="17">
        <f t="shared" si="27"/>
        <v>240</v>
      </c>
      <c r="Y10" s="17">
        <f t="shared" si="27"/>
        <v>245</v>
      </c>
      <c r="Z10" s="17">
        <f t="shared" si="27"/>
        <v>245</v>
      </c>
      <c r="AA10" s="17">
        <f t="shared" si="27"/>
        <v>249</v>
      </c>
      <c r="AB10" s="17">
        <f t="shared" si="27"/>
        <v>259</v>
      </c>
      <c r="AC10" s="17">
        <f t="shared" si="27"/>
        <v>259</v>
      </c>
      <c r="AD10" s="17">
        <f t="shared" si="27"/>
        <v>259</v>
      </c>
      <c r="AE10" s="17">
        <f t="shared" si="27"/>
        <v>259</v>
      </c>
      <c r="AF10" s="17">
        <f t="shared" si="27"/>
        <v>259</v>
      </c>
      <c r="AG10" s="17">
        <f t="shared" si="27"/>
        <v>259</v>
      </c>
      <c r="AH10" s="17">
        <f t="shared" si="27"/>
        <v>259</v>
      </c>
      <c r="AI10" s="17">
        <f t="shared" si="27"/>
        <v>259</v>
      </c>
      <c r="AJ10" s="17">
        <f t="shared" si="27"/>
        <v>259</v>
      </c>
      <c r="AK10" s="17">
        <f t="shared" si="27"/>
        <v>259</v>
      </c>
      <c r="AL10" s="7"/>
      <c r="AM10" s="7"/>
    </row>
    <row r="11" spans="1:39" s="4" customFormat="1" ht="10.199999999999999" x14ac:dyDescent="0.2">
      <c r="A11" s="3"/>
      <c r="B11" s="3"/>
      <c r="C11" s="3"/>
      <c r="D11" s="9"/>
      <c r="E11" s="3"/>
      <c r="F11" s="5" t="str">
        <f>структура!$H$9</f>
        <v>в т.ч.</v>
      </c>
      <c r="G11" s="3"/>
      <c r="H11" s="3"/>
      <c r="I11" s="3"/>
      <c r="J11" s="3"/>
      <c r="K11" s="3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/>
      <c r="B12" s="1"/>
      <c r="C12" s="1"/>
      <c r="D12" s="7"/>
      <c r="E12" s="1"/>
      <c r="F12" s="6" t="str">
        <f>структура!$F$9</f>
        <v>народный гараж</v>
      </c>
      <c r="G12" s="1"/>
      <c r="H12" s="1" t="str">
        <f>H10</f>
        <v>кол-во</v>
      </c>
      <c r="I12" s="1"/>
      <c r="J12" s="1"/>
      <c r="K12" s="1"/>
      <c r="L12" s="10" t="s">
        <v>10</v>
      </c>
      <c r="M12" s="13">
        <v>92</v>
      </c>
      <c r="N12" s="13">
        <v>97</v>
      </c>
      <c r="O12" s="13">
        <v>102</v>
      </c>
      <c r="P12" s="13">
        <v>103</v>
      </c>
      <c r="Q12" s="13">
        <v>109</v>
      </c>
      <c r="R12" s="13">
        <v>110</v>
      </c>
      <c r="S12" s="13">
        <v>118</v>
      </c>
      <c r="T12" s="13">
        <v>124</v>
      </c>
      <c r="U12" s="13">
        <v>131</v>
      </c>
      <c r="V12" s="13">
        <v>142</v>
      </c>
      <c r="W12" s="13">
        <v>146</v>
      </c>
      <c r="X12" s="13">
        <v>146</v>
      </c>
      <c r="Y12" s="13">
        <v>148</v>
      </c>
      <c r="Z12" s="13">
        <v>148</v>
      </c>
      <c r="AA12" s="13">
        <v>151</v>
      </c>
      <c r="AB12" s="13">
        <v>157</v>
      </c>
      <c r="AC12" s="13">
        <v>157</v>
      </c>
      <c r="AD12" s="13">
        <v>157</v>
      </c>
      <c r="AE12" s="13">
        <v>157</v>
      </c>
      <c r="AF12" s="13">
        <v>157</v>
      </c>
      <c r="AG12" s="13">
        <v>157</v>
      </c>
      <c r="AH12" s="13">
        <v>157</v>
      </c>
      <c r="AI12" s="13">
        <v>157</v>
      </c>
      <c r="AJ12" s="13">
        <v>157</v>
      </c>
      <c r="AK12" s="13">
        <v>157</v>
      </c>
      <c r="AL12" s="1"/>
      <c r="AM12" s="1"/>
    </row>
    <row r="13" spans="1:39" x14ac:dyDescent="0.25">
      <c r="A13" s="1"/>
      <c r="B13" s="1"/>
      <c r="C13" s="1"/>
      <c r="D13" s="7"/>
      <c r="E13" s="1"/>
      <c r="F13" s="6" t="str">
        <f>структура!$F$10</f>
        <v>хозяйственное ведение</v>
      </c>
      <c r="G13" s="1"/>
      <c r="H13" s="1" t="str">
        <f>H10</f>
        <v>кол-во</v>
      </c>
      <c r="I13" s="1"/>
      <c r="J13" s="1"/>
      <c r="K13" s="1"/>
      <c r="L13" s="10" t="s">
        <v>10</v>
      </c>
      <c r="M13" s="13">
        <v>64</v>
      </c>
      <c r="N13" s="13">
        <v>68</v>
      </c>
      <c r="O13" s="13">
        <v>71</v>
      </c>
      <c r="P13" s="13">
        <v>71</v>
      </c>
      <c r="Q13" s="13">
        <v>73</v>
      </c>
      <c r="R13" s="13">
        <v>82</v>
      </c>
      <c r="S13" s="13">
        <v>83</v>
      </c>
      <c r="T13" s="13">
        <v>85</v>
      </c>
      <c r="U13" s="13">
        <v>89</v>
      </c>
      <c r="V13" s="13">
        <v>93</v>
      </c>
      <c r="W13" s="13">
        <v>94</v>
      </c>
      <c r="X13" s="13">
        <v>94</v>
      </c>
      <c r="Y13" s="13">
        <v>97</v>
      </c>
      <c r="Z13" s="13">
        <v>97</v>
      </c>
      <c r="AA13" s="13">
        <v>98</v>
      </c>
      <c r="AB13" s="13">
        <v>102</v>
      </c>
      <c r="AC13" s="13">
        <v>102</v>
      </c>
      <c r="AD13" s="13">
        <v>102</v>
      </c>
      <c r="AE13" s="13">
        <v>102</v>
      </c>
      <c r="AF13" s="13">
        <v>102</v>
      </c>
      <c r="AG13" s="13">
        <v>102</v>
      </c>
      <c r="AH13" s="13">
        <v>102</v>
      </c>
      <c r="AI13" s="13">
        <v>102</v>
      </c>
      <c r="AJ13" s="13">
        <v>102</v>
      </c>
      <c r="AK13" s="13">
        <v>102</v>
      </c>
      <c r="AL13" s="1"/>
      <c r="AM13" s="1"/>
    </row>
    <row r="14" spans="1:39" x14ac:dyDescent="0.25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8" customFormat="1" x14ac:dyDescent="0.25">
      <c r="A15" s="7"/>
      <c r="B15" s="7"/>
      <c r="C15" s="7"/>
      <c r="D15" s="7"/>
      <c r="E15" s="7"/>
      <c r="F15" s="7" t="str">
        <f>KPI!$F$10</f>
        <v>среднее кол-во машиномест 1ой парковки</v>
      </c>
      <c r="G15" s="7"/>
      <c r="H15" s="7" t="str">
        <f>INDEX(KPI!$H:$H,SUMIFS(KPI!$D:$D,KPI!$F:$F,$F15))</f>
        <v>м/м</v>
      </c>
      <c r="I15" s="7"/>
      <c r="J15" s="7"/>
      <c r="K15" s="7"/>
      <c r="L15" s="10"/>
      <c r="M15" s="17">
        <f>IF(M10=0,0,SUMPRODUCT(M11:M13,M16:M18)/M10)</f>
        <v>317.94871794871796</v>
      </c>
      <c r="N15" s="17">
        <f t="shared" ref="N15:AK15" si="28">IF(N10=0,0,SUMPRODUCT(N11:N13,N16:N18)/N10)</f>
        <v>317.57575757575756</v>
      </c>
      <c r="O15" s="17">
        <f t="shared" si="28"/>
        <v>317.91907514450867</v>
      </c>
      <c r="P15" s="17">
        <f t="shared" si="28"/>
        <v>318.39080459770116</v>
      </c>
      <c r="Q15" s="17">
        <f t="shared" si="28"/>
        <v>319.7802197802198</v>
      </c>
      <c r="R15" s="17">
        <f t="shared" si="28"/>
        <v>314.58333333333331</v>
      </c>
      <c r="S15" s="17">
        <f t="shared" si="28"/>
        <v>317.41293532338307</v>
      </c>
      <c r="T15" s="17">
        <f t="shared" si="28"/>
        <v>318.66028708133973</v>
      </c>
      <c r="U15" s="17">
        <f t="shared" si="28"/>
        <v>319.09090909090907</v>
      </c>
      <c r="V15" s="17">
        <f t="shared" si="28"/>
        <v>320.85106382978722</v>
      </c>
      <c r="W15" s="17">
        <f t="shared" si="28"/>
        <v>321.66666666666669</v>
      </c>
      <c r="X15" s="17">
        <f t="shared" si="28"/>
        <v>321.66666666666669</v>
      </c>
      <c r="Y15" s="17">
        <f t="shared" si="28"/>
        <v>320.81632653061223</v>
      </c>
      <c r="Z15" s="17">
        <f t="shared" si="28"/>
        <v>320.81632653061223</v>
      </c>
      <c r="AA15" s="17">
        <f t="shared" si="28"/>
        <v>321.28514056224901</v>
      </c>
      <c r="AB15" s="17">
        <f t="shared" si="28"/>
        <v>321.23552123552122</v>
      </c>
      <c r="AC15" s="17">
        <f t="shared" si="28"/>
        <v>321.23552123552122</v>
      </c>
      <c r="AD15" s="17">
        <f t="shared" si="28"/>
        <v>321.23552123552122</v>
      </c>
      <c r="AE15" s="17">
        <f t="shared" si="28"/>
        <v>321.23552123552122</v>
      </c>
      <c r="AF15" s="17">
        <f t="shared" si="28"/>
        <v>321.23552123552122</v>
      </c>
      <c r="AG15" s="17">
        <f t="shared" si="28"/>
        <v>321.23552123552122</v>
      </c>
      <c r="AH15" s="17">
        <f t="shared" si="28"/>
        <v>321.23552123552122</v>
      </c>
      <c r="AI15" s="17">
        <f t="shared" si="28"/>
        <v>321.23552123552122</v>
      </c>
      <c r="AJ15" s="17">
        <f t="shared" si="28"/>
        <v>321.23552123552122</v>
      </c>
      <c r="AK15" s="17">
        <f t="shared" si="28"/>
        <v>321.23552123552122</v>
      </c>
      <c r="AL15" s="7"/>
      <c r="AM15" s="7"/>
    </row>
    <row r="16" spans="1:39" s="4" customFormat="1" ht="10.199999999999999" x14ac:dyDescent="0.2">
      <c r="A16" s="3"/>
      <c r="B16" s="3"/>
      <c r="C16" s="3"/>
      <c r="D16" s="9"/>
      <c r="E16" s="3"/>
      <c r="F16" s="5" t="str">
        <f>структура!$H$9</f>
        <v>в т.ч.</v>
      </c>
      <c r="G16" s="3"/>
      <c r="H16" s="3"/>
      <c r="I16" s="3"/>
      <c r="J16" s="3"/>
      <c r="K16" s="3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1"/>
      <c r="B17" s="1"/>
      <c r="C17" s="1"/>
      <c r="D17" s="7"/>
      <c r="E17" s="1"/>
      <c r="F17" s="6" t="str">
        <f>структура!$F$9</f>
        <v>народный гараж</v>
      </c>
      <c r="G17" s="1"/>
      <c r="H17" s="1" t="str">
        <f>H15</f>
        <v>м/м</v>
      </c>
      <c r="I17" s="1"/>
      <c r="J17" s="1"/>
      <c r="K17" s="1"/>
      <c r="L17" s="10" t="s">
        <v>10</v>
      </c>
      <c r="M17" s="13">
        <v>400</v>
      </c>
      <c r="N17" s="13">
        <v>400</v>
      </c>
      <c r="O17" s="13">
        <v>400</v>
      </c>
      <c r="P17" s="13">
        <v>400</v>
      </c>
      <c r="Q17" s="13">
        <v>400</v>
      </c>
      <c r="R17" s="13">
        <v>400</v>
      </c>
      <c r="S17" s="13">
        <v>400</v>
      </c>
      <c r="T17" s="13">
        <v>400</v>
      </c>
      <c r="U17" s="13">
        <v>400</v>
      </c>
      <c r="V17" s="13">
        <v>400</v>
      </c>
      <c r="W17" s="13">
        <v>400</v>
      </c>
      <c r="X17" s="13">
        <v>400</v>
      </c>
      <c r="Y17" s="13">
        <v>400</v>
      </c>
      <c r="Z17" s="13">
        <v>400</v>
      </c>
      <c r="AA17" s="13">
        <v>400</v>
      </c>
      <c r="AB17" s="13">
        <v>400</v>
      </c>
      <c r="AC17" s="13">
        <v>400</v>
      </c>
      <c r="AD17" s="13">
        <v>400</v>
      </c>
      <c r="AE17" s="13">
        <v>400</v>
      </c>
      <c r="AF17" s="13">
        <v>400</v>
      </c>
      <c r="AG17" s="13">
        <v>400</v>
      </c>
      <c r="AH17" s="13">
        <v>400</v>
      </c>
      <c r="AI17" s="13">
        <v>400</v>
      </c>
      <c r="AJ17" s="13">
        <v>400</v>
      </c>
      <c r="AK17" s="13">
        <v>400</v>
      </c>
      <c r="AL17" s="1"/>
      <c r="AM17" s="1"/>
    </row>
    <row r="18" spans="1:39" x14ac:dyDescent="0.25">
      <c r="A18" s="1"/>
      <c r="B18" s="1"/>
      <c r="C18" s="1"/>
      <c r="D18" s="7"/>
      <c r="E18" s="1"/>
      <c r="F18" s="6" t="str">
        <f>структура!$F$10</f>
        <v>хозяйственное ведение</v>
      </c>
      <c r="G18" s="1"/>
      <c r="H18" s="1" t="str">
        <f>H15</f>
        <v>м/м</v>
      </c>
      <c r="I18" s="1"/>
      <c r="J18" s="1"/>
      <c r="K18" s="1"/>
      <c r="L18" s="10" t="s">
        <v>10</v>
      </c>
      <c r="M18" s="13">
        <v>200</v>
      </c>
      <c r="N18" s="13">
        <v>200</v>
      </c>
      <c r="O18" s="13">
        <v>200</v>
      </c>
      <c r="P18" s="13">
        <v>200</v>
      </c>
      <c r="Q18" s="13">
        <v>200</v>
      </c>
      <c r="R18" s="13">
        <v>200</v>
      </c>
      <c r="S18" s="13">
        <v>200</v>
      </c>
      <c r="T18" s="13">
        <v>200</v>
      </c>
      <c r="U18" s="13">
        <v>200</v>
      </c>
      <c r="V18" s="13">
        <v>200</v>
      </c>
      <c r="W18" s="13">
        <v>200</v>
      </c>
      <c r="X18" s="13">
        <v>200</v>
      </c>
      <c r="Y18" s="13">
        <v>200</v>
      </c>
      <c r="Z18" s="13">
        <v>200</v>
      </c>
      <c r="AA18" s="13">
        <v>200</v>
      </c>
      <c r="AB18" s="13">
        <v>200</v>
      </c>
      <c r="AC18" s="13">
        <v>200</v>
      </c>
      <c r="AD18" s="13">
        <v>200</v>
      </c>
      <c r="AE18" s="13">
        <v>200</v>
      </c>
      <c r="AF18" s="13">
        <v>200</v>
      </c>
      <c r="AG18" s="13">
        <v>200</v>
      </c>
      <c r="AH18" s="13">
        <v>200</v>
      </c>
      <c r="AI18" s="13">
        <v>200</v>
      </c>
      <c r="AJ18" s="13">
        <v>200</v>
      </c>
      <c r="AK18" s="13">
        <v>200</v>
      </c>
      <c r="AL18" s="1"/>
      <c r="AM18" s="1"/>
    </row>
    <row r="19" spans="1:39" x14ac:dyDescent="0.25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8" customFormat="1" x14ac:dyDescent="0.25">
      <c r="A20" s="7"/>
      <c r="B20" s="7"/>
      <c r="C20" s="7"/>
      <c r="D20" s="7"/>
      <c r="E20" s="7"/>
      <c r="F20" s="7" t="str">
        <f>KPI!$F$11</f>
        <v>кол-во машиномест в управлении</v>
      </c>
      <c r="G20" s="7"/>
      <c r="H20" s="7" t="str">
        <f>INDEX(KPI!$H:$H,SUMIFS(KPI!$D:$D,KPI!$F:$F,$F20))</f>
        <v>м/м</v>
      </c>
      <c r="I20" s="7"/>
      <c r="J20" s="7"/>
      <c r="K20" s="7"/>
      <c r="L20" s="10"/>
      <c r="M20" s="17">
        <f>SUM(M21:M23)</f>
        <v>49600</v>
      </c>
      <c r="N20" s="17">
        <f t="shared" ref="N20:AK20" si="29">SUM(N21:N23)</f>
        <v>52400</v>
      </c>
      <c r="O20" s="17">
        <f t="shared" si="29"/>
        <v>55000</v>
      </c>
      <c r="P20" s="17">
        <f t="shared" si="29"/>
        <v>55400</v>
      </c>
      <c r="Q20" s="17">
        <f t="shared" si="29"/>
        <v>58200</v>
      </c>
      <c r="R20" s="17">
        <f t="shared" si="29"/>
        <v>60400</v>
      </c>
      <c r="S20" s="17">
        <f t="shared" si="29"/>
        <v>63800</v>
      </c>
      <c r="T20" s="17">
        <f t="shared" si="29"/>
        <v>66600</v>
      </c>
      <c r="U20" s="17">
        <f t="shared" si="29"/>
        <v>70200</v>
      </c>
      <c r="V20" s="17">
        <f t="shared" si="29"/>
        <v>75400</v>
      </c>
      <c r="W20" s="17">
        <f t="shared" si="29"/>
        <v>77200</v>
      </c>
      <c r="X20" s="17">
        <f t="shared" si="29"/>
        <v>77200</v>
      </c>
      <c r="Y20" s="17">
        <f t="shared" si="29"/>
        <v>78600</v>
      </c>
      <c r="Z20" s="17">
        <f t="shared" si="29"/>
        <v>78600</v>
      </c>
      <c r="AA20" s="17">
        <f t="shared" si="29"/>
        <v>80000</v>
      </c>
      <c r="AB20" s="17">
        <f t="shared" si="29"/>
        <v>83200</v>
      </c>
      <c r="AC20" s="17">
        <f t="shared" si="29"/>
        <v>83200</v>
      </c>
      <c r="AD20" s="17">
        <f t="shared" si="29"/>
        <v>83200</v>
      </c>
      <c r="AE20" s="17">
        <f t="shared" si="29"/>
        <v>83200</v>
      </c>
      <c r="AF20" s="17">
        <f t="shared" si="29"/>
        <v>83200</v>
      </c>
      <c r="AG20" s="17">
        <f t="shared" si="29"/>
        <v>83200</v>
      </c>
      <c r="AH20" s="17">
        <f t="shared" si="29"/>
        <v>83200</v>
      </c>
      <c r="AI20" s="17">
        <f t="shared" si="29"/>
        <v>83200</v>
      </c>
      <c r="AJ20" s="17">
        <f t="shared" si="29"/>
        <v>83200</v>
      </c>
      <c r="AK20" s="17">
        <f t="shared" si="29"/>
        <v>83200</v>
      </c>
      <c r="AL20" s="7"/>
      <c r="AM20" s="7"/>
    </row>
    <row r="21" spans="1:39" s="4" customFormat="1" ht="10.199999999999999" x14ac:dyDescent="0.2">
      <c r="A21" s="3"/>
      <c r="B21" s="3"/>
      <c r="C21" s="3"/>
      <c r="D21" s="9"/>
      <c r="E21" s="3"/>
      <c r="F21" s="5" t="str">
        <f>структура!$H$9</f>
        <v>в т.ч.</v>
      </c>
      <c r="G21" s="3"/>
      <c r="H21" s="3"/>
      <c r="I21" s="3"/>
      <c r="J21" s="3"/>
      <c r="K21" s="3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1"/>
      <c r="B22" s="1"/>
      <c r="C22" s="1"/>
      <c r="D22" s="7"/>
      <c r="E22" s="1"/>
      <c r="F22" s="6" t="str">
        <f>структура!$F$9</f>
        <v>народный гараж</v>
      </c>
      <c r="G22" s="1"/>
      <c r="H22" s="1" t="str">
        <f>H20</f>
        <v>м/м</v>
      </c>
      <c r="I22" s="1"/>
      <c r="J22" s="1"/>
      <c r="K22" s="1"/>
      <c r="L22" s="10"/>
      <c r="M22" s="18">
        <f>M12*M17</f>
        <v>36800</v>
      </c>
      <c r="N22" s="18">
        <f t="shared" ref="N22:AK22" si="30">N12*N17</f>
        <v>38800</v>
      </c>
      <c r="O22" s="18">
        <f t="shared" si="30"/>
        <v>40800</v>
      </c>
      <c r="P22" s="18">
        <f t="shared" si="30"/>
        <v>41200</v>
      </c>
      <c r="Q22" s="18">
        <f t="shared" si="30"/>
        <v>43600</v>
      </c>
      <c r="R22" s="18">
        <f t="shared" si="30"/>
        <v>44000</v>
      </c>
      <c r="S22" s="18">
        <f t="shared" si="30"/>
        <v>47200</v>
      </c>
      <c r="T22" s="18">
        <f t="shared" si="30"/>
        <v>49600</v>
      </c>
      <c r="U22" s="18">
        <f t="shared" si="30"/>
        <v>52400</v>
      </c>
      <c r="V22" s="18">
        <f t="shared" si="30"/>
        <v>56800</v>
      </c>
      <c r="W22" s="18">
        <f t="shared" si="30"/>
        <v>58400</v>
      </c>
      <c r="X22" s="18">
        <f t="shared" si="30"/>
        <v>58400</v>
      </c>
      <c r="Y22" s="18">
        <f t="shared" si="30"/>
        <v>59200</v>
      </c>
      <c r="Z22" s="18">
        <f t="shared" si="30"/>
        <v>59200</v>
      </c>
      <c r="AA22" s="18">
        <f t="shared" si="30"/>
        <v>60400</v>
      </c>
      <c r="AB22" s="18">
        <f t="shared" si="30"/>
        <v>62800</v>
      </c>
      <c r="AC22" s="18">
        <f t="shared" si="30"/>
        <v>62800</v>
      </c>
      <c r="AD22" s="18">
        <f t="shared" si="30"/>
        <v>62800</v>
      </c>
      <c r="AE22" s="18">
        <f t="shared" si="30"/>
        <v>62800</v>
      </c>
      <c r="AF22" s="18">
        <f t="shared" si="30"/>
        <v>62800</v>
      </c>
      <c r="AG22" s="18">
        <f t="shared" si="30"/>
        <v>62800</v>
      </c>
      <c r="AH22" s="18">
        <f t="shared" si="30"/>
        <v>62800</v>
      </c>
      <c r="AI22" s="18">
        <f t="shared" si="30"/>
        <v>62800</v>
      </c>
      <c r="AJ22" s="18">
        <f t="shared" si="30"/>
        <v>62800</v>
      </c>
      <c r="AK22" s="18">
        <f t="shared" si="30"/>
        <v>62800</v>
      </c>
      <c r="AL22" s="1"/>
      <c r="AM22" s="1"/>
    </row>
    <row r="23" spans="1:39" x14ac:dyDescent="0.25">
      <c r="A23" s="1"/>
      <c r="B23" s="1"/>
      <c r="C23" s="1"/>
      <c r="D23" s="7"/>
      <c r="E23" s="1"/>
      <c r="F23" s="6" t="str">
        <f>структура!$F$10</f>
        <v>хозяйственное ведение</v>
      </c>
      <c r="G23" s="1"/>
      <c r="H23" s="1" t="str">
        <f>H20</f>
        <v>м/м</v>
      </c>
      <c r="I23" s="1"/>
      <c r="J23" s="1"/>
      <c r="K23" s="1"/>
      <c r="L23" s="10"/>
      <c r="M23" s="18">
        <f>M13*M18</f>
        <v>12800</v>
      </c>
      <c r="N23" s="18">
        <f t="shared" ref="N23:AK23" si="31">N13*N18</f>
        <v>13600</v>
      </c>
      <c r="O23" s="18">
        <f t="shared" si="31"/>
        <v>14200</v>
      </c>
      <c r="P23" s="18">
        <f t="shared" si="31"/>
        <v>14200</v>
      </c>
      <c r="Q23" s="18">
        <f t="shared" si="31"/>
        <v>14600</v>
      </c>
      <c r="R23" s="18">
        <f t="shared" si="31"/>
        <v>16400</v>
      </c>
      <c r="S23" s="18">
        <f t="shared" si="31"/>
        <v>16600</v>
      </c>
      <c r="T23" s="18">
        <f t="shared" si="31"/>
        <v>17000</v>
      </c>
      <c r="U23" s="18">
        <f t="shared" si="31"/>
        <v>17800</v>
      </c>
      <c r="V23" s="18">
        <f t="shared" si="31"/>
        <v>18600</v>
      </c>
      <c r="W23" s="18">
        <f t="shared" si="31"/>
        <v>18800</v>
      </c>
      <c r="X23" s="18">
        <f t="shared" si="31"/>
        <v>18800</v>
      </c>
      <c r="Y23" s="18">
        <f t="shared" si="31"/>
        <v>19400</v>
      </c>
      <c r="Z23" s="18">
        <f t="shared" si="31"/>
        <v>19400</v>
      </c>
      <c r="AA23" s="18">
        <f t="shared" si="31"/>
        <v>19600</v>
      </c>
      <c r="AB23" s="18">
        <f t="shared" si="31"/>
        <v>20400</v>
      </c>
      <c r="AC23" s="18">
        <f t="shared" si="31"/>
        <v>20400</v>
      </c>
      <c r="AD23" s="18">
        <f t="shared" si="31"/>
        <v>20400</v>
      </c>
      <c r="AE23" s="18">
        <f t="shared" si="31"/>
        <v>20400</v>
      </c>
      <c r="AF23" s="18">
        <f t="shared" si="31"/>
        <v>20400</v>
      </c>
      <c r="AG23" s="18">
        <f t="shared" si="31"/>
        <v>20400</v>
      </c>
      <c r="AH23" s="18">
        <f t="shared" si="31"/>
        <v>20400</v>
      </c>
      <c r="AI23" s="18">
        <f t="shared" si="31"/>
        <v>20400</v>
      </c>
      <c r="AJ23" s="18">
        <f t="shared" si="31"/>
        <v>20400</v>
      </c>
      <c r="AK23" s="18">
        <f t="shared" si="31"/>
        <v>20400</v>
      </c>
      <c r="AL23" s="1"/>
      <c r="AM23" s="1"/>
    </row>
    <row r="24" spans="1:39" x14ac:dyDescent="0.25">
      <c r="A24" s="1"/>
      <c r="B24" s="1"/>
      <c r="C24" s="1"/>
      <c r="D24" s="7"/>
      <c r="E24" s="1"/>
      <c r="F24" s="1"/>
      <c r="G24" s="1"/>
      <c r="H24" s="1"/>
      <c r="I24" s="1"/>
      <c r="J24" s="1"/>
      <c r="K24" s="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8" customFormat="1" x14ac:dyDescent="0.25">
      <c r="A25" s="7"/>
      <c r="B25" s="7"/>
      <c r="C25" s="7"/>
      <c r="D25" s="7"/>
      <c r="E25" s="7"/>
      <c r="F25" s="7" t="str">
        <f>KPI!$F$12</f>
        <v>доля занятых (сданных в аренду) машиномест</v>
      </c>
      <c r="G25" s="7"/>
      <c r="H25" s="7" t="str">
        <f>INDEX(KPI!$H:$H,SUMIFS(KPI!$D:$D,KPI!$F:$F,$F25))</f>
        <v>%</v>
      </c>
      <c r="I25" s="7"/>
      <c r="J25" s="7"/>
      <c r="K25" s="7"/>
      <c r="L25" s="10"/>
      <c r="M25" s="19">
        <f>IF(M20=0,0,SUMPRODUCT(M21:M23,M26:M28)/M20)</f>
        <v>0.66483870967741932</v>
      </c>
      <c r="N25" s="19">
        <f t="shared" ref="N25:AK25" si="32">IF(N20=0,0,SUMPRODUCT(N21:N23,N26:N28)/N20)</f>
        <v>0.66480916030534354</v>
      </c>
      <c r="O25" s="19">
        <f t="shared" si="32"/>
        <v>0.66483636363636367</v>
      </c>
      <c r="P25" s="19">
        <f t="shared" si="32"/>
        <v>0.66487364620938627</v>
      </c>
      <c r="Q25" s="19">
        <f t="shared" si="32"/>
        <v>0.66498281786941582</v>
      </c>
      <c r="R25" s="19">
        <f t="shared" si="32"/>
        <v>0.66456953642384109</v>
      </c>
      <c r="S25" s="19">
        <f t="shared" si="32"/>
        <v>0.66479623824451406</v>
      </c>
      <c r="T25" s="19">
        <f t="shared" si="32"/>
        <v>0.66489489489489495</v>
      </c>
      <c r="U25" s="19">
        <f t="shared" si="32"/>
        <v>0.6749287749287749</v>
      </c>
      <c r="V25" s="19">
        <f t="shared" si="32"/>
        <v>0.67506631299734743</v>
      </c>
      <c r="W25" s="19">
        <f t="shared" si="32"/>
        <v>0.6751295336787565</v>
      </c>
      <c r="X25" s="19">
        <f t="shared" si="32"/>
        <v>0.6751295336787565</v>
      </c>
      <c r="Y25" s="19">
        <f t="shared" si="32"/>
        <v>0.69506361323155219</v>
      </c>
      <c r="Z25" s="19">
        <f t="shared" si="32"/>
        <v>0.69506361323155219</v>
      </c>
      <c r="AA25" s="19">
        <f t="shared" si="32"/>
        <v>0.69510000000000005</v>
      </c>
      <c r="AB25" s="19">
        <f t="shared" si="32"/>
        <v>0.69509615384615386</v>
      </c>
      <c r="AC25" s="19">
        <f t="shared" si="32"/>
        <v>0.69509615384615386</v>
      </c>
      <c r="AD25" s="19">
        <f t="shared" si="32"/>
        <v>0.69509615384615386</v>
      </c>
      <c r="AE25" s="19">
        <f t="shared" si="32"/>
        <v>0.69509615384615386</v>
      </c>
      <c r="AF25" s="19">
        <f t="shared" si="32"/>
        <v>0.69509615384615386</v>
      </c>
      <c r="AG25" s="19">
        <f t="shared" si="32"/>
        <v>0.69509615384615386</v>
      </c>
      <c r="AH25" s="19">
        <f t="shared" si="32"/>
        <v>0.69509615384615386</v>
      </c>
      <c r="AI25" s="19">
        <f t="shared" si="32"/>
        <v>0.69509615384615386</v>
      </c>
      <c r="AJ25" s="19">
        <f t="shared" si="32"/>
        <v>0.69509615384615386</v>
      </c>
      <c r="AK25" s="19">
        <f t="shared" si="32"/>
        <v>0.69509615384615386</v>
      </c>
      <c r="AL25" s="7"/>
      <c r="AM25" s="7"/>
    </row>
    <row r="26" spans="1:39" s="4" customFormat="1" ht="10.199999999999999" x14ac:dyDescent="0.2">
      <c r="A26" s="3"/>
      <c r="B26" s="3"/>
      <c r="C26" s="3"/>
      <c r="D26" s="9"/>
      <c r="E26" s="3"/>
      <c r="F26" s="5" t="str">
        <f>структура!$H$9</f>
        <v>в т.ч.</v>
      </c>
      <c r="G26" s="3"/>
      <c r="H26" s="3"/>
      <c r="I26" s="3"/>
      <c r="J26" s="3"/>
      <c r="K26" s="3"/>
      <c r="L26" s="1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1"/>
      <c r="B27" s="1"/>
      <c r="C27" s="1"/>
      <c r="D27" s="7"/>
      <c r="E27" s="1"/>
      <c r="F27" s="6" t="str">
        <f>структура!$F$9</f>
        <v>народный гараж</v>
      </c>
      <c r="G27" s="1"/>
      <c r="H27" s="1" t="str">
        <f>H25</f>
        <v>%</v>
      </c>
      <c r="I27" s="1"/>
      <c r="J27" s="1"/>
      <c r="K27" s="1"/>
      <c r="L27" s="10" t="s">
        <v>10</v>
      </c>
      <c r="M27" s="24">
        <v>0.67</v>
      </c>
      <c r="N27" s="24">
        <v>0.67</v>
      </c>
      <c r="O27" s="24">
        <v>0.67</v>
      </c>
      <c r="P27" s="24">
        <v>0.67</v>
      </c>
      <c r="Q27" s="24">
        <v>0.67</v>
      </c>
      <c r="R27" s="24">
        <v>0.67</v>
      </c>
      <c r="S27" s="24">
        <v>0.67</v>
      </c>
      <c r="T27" s="24">
        <v>0.67</v>
      </c>
      <c r="U27" s="24">
        <v>0.68</v>
      </c>
      <c r="V27" s="24">
        <v>0.68</v>
      </c>
      <c r="W27" s="24">
        <v>0.68</v>
      </c>
      <c r="X27" s="24">
        <v>0.68</v>
      </c>
      <c r="Y27" s="24">
        <v>0.7</v>
      </c>
      <c r="Z27" s="24">
        <v>0.7</v>
      </c>
      <c r="AA27" s="24">
        <v>0.7</v>
      </c>
      <c r="AB27" s="24">
        <v>0.7</v>
      </c>
      <c r="AC27" s="24">
        <v>0.7</v>
      </c>
      <c r="AD27" s="24">
        <v>0.7</v>
      </c>
      <c r="AE27" s="24">
        <v>0.7</v>
      </c>
      <c r="AF27" s="24">
        <v>0.7</v>
      </c>
      <c r="AG27" s="24">
        <v>0.7</v>
      </c>
      <c r="AH27" s="24">
        <v>0.7</v>
      </c>
      <c r="AI27" s="24">
        <v>0.7</v>
      </c>
      <c r="AJ27" s="24">
        <v>0.7</v>
      </c>
      <c r="AK27" s="24">
        <v>0.7</v>
      </c>
      <c r="AL27" s="1"/>
      <c r="AM27" s="1"/>
    </row>
    <row r="28" spans="1:39" x14ac:dyDescent="0.25">
      <c r="A28" s="1"/>
      <c r="B28" s="1"/>
      <c r="C28" s="1"/>
      <c r="D28" s="7"/>
      <c r="E28" s="1"/>
      <c r="F28" s="6" t="str">
        <f>структура!$F$10</f>
        <v>хозяйственное ведение</v>
      </c>
      <c r="G28" s="1"/>
      <c r="H28" s="1" t="str">
        <f>H25</f>
        <v>%</v>
      </c>
      <c r="I28" s="1"/>
      <c r="J28" s="1"/>
      <c r="K28" s="1"/>
      <c r="L28" s="10" t="s">
        <v>10</v>
      </c>
      <c r="M28" s="24">
        <v>0.65</v>
      </c>
      <c r="N28" s="24">
        <v>0.65</v>
      </c>
      <c r="O28" s="24">
        <v>0.65</v>
      </c>
      <c r="P28" s="24">
        <v>0.65</v>
      </c>
      <c r="Q28" s="24">
        <v>0.65</v>
      </c>
      <c r="R28" s="24">
        <v>0.65</v>
      </c>
      <c r="S28" s="24">
        <v>0.65</v>
      </c>
      <c r="T28" s="24">
        <v>0.65</v>
      </c>
      <c r="U28" s="24">
        <v>0.66</v>
      </c>
      <c r="V28" s="24">
        <v>0.66</v>
      </c>
      <c r="W28" s="24">
        <v>0.66</v>
      </c>
      <c r="X28" s="24">
        <v>0.66</v>
      </c>
      <c r="Y28" s="24">
        <v>0.68</v>
      </c>
      <c r="Z28" s="24">
        <v>0.68</v>
      </c>
      <c r="AA28" s="24">
        <v>0.68</v>
      </c>
      <c r="AB28" s="24">
        <v>0.68</v>
      </c>
      <c r="AC28" s="24">
        <v>0.68</v>
      </c>
      <c r="AD28" s="24">
        <v>0.68</v>
      </c>
      <c r="AE28" s="24">
        <v>0.68</v>
      </c>
      <c r="AF28" s="24">
        <v>0.68</v>
      </c>
      <c r="AG28" s="24">
        <v>0.68</v>
      </c>
      <c r="AH28" s="24">
        <v>0.68</v>
      </c>
      <c r="AI28" s="24">
        <v>0.68</v>
      </c>
      <c r="AJ28" s="24">
        <v>0.68</v>
      </c>
      <c r="AK28" s="24">
        <v>0.68</v>
      </c>
      <c r="AL28" s="1"/>
      <c r="AM28" s="1"/>
    </row>
    <row r="29" spans="1:39" x14ac:dyDescent="0.25">
      <c r="A29" s="1"/>
      <c r="B29" s="1"/>
      <c r="C29" s="1"/>
      <c r="D29" s="7"/>
      <c r="E29" s="1"/>
      <c r="F29" s="1"/>
      <c r="G29" s="1"/>
      <c r="H29" s="1"/>
      <c r="I29" s="1"/>
      <c r="J29" s="1"/>
      <c r="K29" s="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8" customFormat="1" x14ac:dyDescent="0.25">
      <c r="A30" s="7"/>
      <c r="B30" s="7"/>
      <c r="C30" s="7"/>
      <c r="D30" s="7"/>
      <c r="E30" s="7"/>
      <c r="F30" s="7" t="str">
        <f>KPI!$F$13</f>
        <v>средняя стоимость сдачи в аренду 1ого м/места</v>
      </c>
      <c r="G30" s="7"/>
      <c r="H30" s="7" t="str">
        <f>INDEX(KPI!$H:$H,SUMIFS(KPI!$D:$D,KPI!$F:$F,$F30))</f>
        <v>руб.</v>
      </c>
      <c r="I30" s="7"/>
      <c r="J30" s="7"/>
      <c r="K30" s="7"/>
      <c r="L30" s="1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7"/>
      <c r="AM30" s="7"/>
    </row>
    <row r="31" spans="1:39" s="4" customFormat="1" ht="10.199999999999999" x14ac:dyDescent="0.2">
      <c r="A31" s="3"/>
      <c r="B31" s="3"/>
      <c r="C31" s="3"/>
      <c r="D31" s="9"/>
      <c r="E31" s="3"/>
      <c r="F31" s="5" t="str">
        <f>структура!$H$9</f>
        <v>в т.ч.</v>
      </c>
      <c r="G31" s="3"/>
      <c r="H31" s="3"/>
      <c r="I31" s="3"/>
      <c r="J31" s="3"/>
      <c r="K31" s="3"/>
      <c r="L31" s="1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1"/>
      <c r="B32" s="1"/>
      <c r="C32" s="1"/>
      <c r="D32" s="7"/>
      <c r="E32" s="1"/>
      <c r="F32" s="6" t="str">
        <f>структура!$F$9</f>
        <v>народный гараж</v>
      </c>
      <c r="G32" s="1"/>
      <c r="H32" s="1" t="str">
        <f>H30</f>
        <v>руб.</v>
      </c>
      <c r="I32" s="1"/>
      <c r="J32" s="1"/>
      <c r="K32" s="1"/>
      <c r="L32" s="10" t="s">
        <v>10</v>
      </c>
      <c r="M32" s="13">
        <v>3000</v>
      </c>
      <c r="N32" s="13">
        <v>3000</v>
      </c>
      <c r="O32" s="13">
        <v>3000</v>
      </c>
      <c r="P32" s="13">
        <v>3000</v>
      </c>
      <c r="Q32" s="13">
        <v>3000</v>
      </c>
      <c r="R32" s="13">
        <v>3000</v>
      </c>
      <c r="S32" s="13">
        <v>3000</v>
      </c>
      <c r="T32" s="13">
        <v>3000</v>
      </c>
      <c r="U32" s="13">
        <v>3000</v>
      </c>
      <c r="V32" s="13">
        <v>3000</v>
      </c>
      <c r="W32" s="13">
        <v>3000</v>
      </c>
      <c r="X32" s="13">
        <v>3000</v>
      </c>
      <c r="Y32" s="13">
        <v>3000</v>
      </c>
      <c r="Z32" s="13">
        <v>3000</v>
      </c>
      <c r="AA32" s="13">
        <v>3000</v>
      </c>
      <c r="AB32" s="13">
        <v>3000</v>
      </c>
      <c r="AC32" s="13">
        <v>3000</v>
      </c>
      <c r="AD32" s="13">
        <v>3000</v>
      </c>
      <c r="AE32" s="13">
        <v>3000</v>
      </c>
      <c r="AF32" s="13">
        <v>3000</v>
      </c>
      <c r="AG32" s="13">
        <v>3000</v>
      </c>
      <c r="AH32" s="13">
        <v>3000</v>
      </c>
      <c r="AI32" s="13">
        <v>3000</v>
      </c>
      <c r="AJ32" s="13">
        <v>3000</v>
      </c>
      <c r="AK32" s="13">
        <v>3000</v>
      </c>
      <c r="AL32" s="1"/>
      <c r="AM32" s="1"/>
    </row>
    <row r="33" spans="1:39" x14ac:dyDescent="0.25">
      <c r="A33" s="1"/>
      <c r="B33" s="1"/>
      <c r="C33" s="1"/>
      <c r="D33" s="7"/>
      <c r="E33" s="1"/>
      <c r="F33" s="6" t="str">
        <f>структура!$F$10</f>
        <v>хозяйственное ведение</v>
      </c>
      <c r="G33" s="1"/>
      <c r="H33" s="1" t="str">
        <f>H30</f>
        <v>руб.</v>
      </c>
      <c r="I33" s="1"/>
      <c r="J33" s="1"/>
      <c r="K33" s="1"/>
      <c r="L33" s="10" t="s">
        <v>10</v>
      </c>
      <c r="M33" s="13">
        <v>5000</v>
      </c>
      <c r="N33" s="13">
        <v>5000</v>
      </c>
      <c r="O33" s="13">
        <v>5000</v>
      </c>
      <c r="P33" s="13">
        <v>5000</v>
      </c>
      <c r="Q33" s="13">
        <v>5000</v>
      </c>
      <c r="R33" s="13">
        <v>5000</v>
      </c>
      <c r="S33" s="13">
        <v>5000</v>
      </c>
      <c r="T33" s="13">
        <v>5000</v>
      </c>
      <c r="U33" s="13">
        <v>5000</v>
      </c>
      <c r="V33" s="13">
        <v>5000</v>
      </c>
      <c r="W33" s="13">
        <v>5000</v>
      </c>
      <c r="X33" s="13">
        <v>5000</v>
      </c>
      <c r="Y33" s="13">
        <v>5000</v>
      </c>
      <c r="Z33" s="13">
        <v>5000</v>
      </c>
      <c r="AA33" s="13">
        <v>5000</v>
      </c>
      <c r="AB33" s="13">
        <v>5000</v>
      </c>
      <c r="AC33" s="13">
        <v>5000</v>
      </c>
      <c r="AD33" s="13">
        <v>5000</v>
      </c>
      <c r="AE33" s="13">
        <v>5000</v>
      </c>
      <c r="AF33" s="13">
        <v>5000</v>
      </c>
      <c r="AG33" s="13">
        <v>5000</v>
      </c>
      <c r="AH33" s="13">
        <v>5000</v>
      </c>
      <c r="AI33" s="13">
        <v>5000</v>
      </c>
      <c r="AJ33" s="13">
        <v>5000</v>
      </c>
      <c r="AK33" s="13">
        <v>5000</v>
      </c>
      <c r="AL33" s="1"/>
      <c r="AM33" s="1"/>
    </row>
    <row r="34" spans="1:39" x14ac:dyDescent="0.25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8" customFormat="1" x14ac:dyDescent="0.25">
      <c r="A35" s="7"/>
      <c r="B35" s="7"/>
      <c r="C35" s="7"/>
      <c r="D35" s="20" t="str">
        <f>структура!$D$10</f>
        <v>Выручка</v>
      </c>
      <c r="E35" s="7"/>
      <c r="F35" s="20" t="str">
        <f>KPI!$F$14</f>
        <v>доход от сдачи м/мест в аренду</v>
      </c>
      <c r="G35" s="7"/>
      <c r="H35" s="20" t="str">
        <f>INDEX(KPI!$H:$H,SUMIFS(KPI!$D:$D,KPI!$F:$F,$F35))</f>
        <v>тыс.руб.</v>
      </c>
      <c r="I35" s="7"/>
      <c r="J35" s="7"/>
      <c r="K35" s="7"/>
      <c r="L35" s="10"/>
      <c r="M35" s="21">
        <f>SUM(M36:M38)</f>
        <v>115568</v>
      </c>
      <c r="N35" s="21">
        <f t="shared" ref="N35:AK35" si="33">SUM(N36:N38)</f>
        <v>122188</v>
      </c>
      <c r="O35" s="21">
        <f t="shared" si="33"/>
        <v>128158</v>
      </c>
      <c r="P35" s="21">
        <f t="shared" si="33"/>
        <v>128962</v>
      </c>
      <c r="Q35" s="21">
        <f t="shared" si="33"/>
        <v>135086</v>
      </c>
      <c r="R35" s="21">
        <f t="shared" si="33"/>
        <v>141740</v>
      </c>
      <c r="S35" s="21">
        <f t="shared" si="33"/>
        <v>148822</v>
      </c>
      <c r="T35" s="21">
        <f t="shared" si="33"/>
        <v>154946</v>
      </c>
      <c r="U35" s="21">
        <f t="shared" si="33"/>
        <v>165636</v>
      </c>
      <c r="V35" s="21">
        <f t="shared" si="33"/>
        <v>177252</v>
      </c>
      <c r="W35" s="21">
        <f t="shared" si="33"/>
        <v>181176</v>
      </c>
      <c r="X35" s="21">
        <f t="shared" si="33"/>
        <v>181176</v>
      </c>
      <c r="Y35" s="21">
        <f t="shared" si="33"/>
        <v>190280</v>
      </c>
      <c r="Z35" s="21">
        <f t="shared" si="33"/>
        <v>190280</v>
      </c>
      <c r="AA35" s="21">
        <f t="shared" si="33"/>
        <v>193480</v>
      </c>
      <c r="AB35" s="21">
        <f t="shared" si="33"/>
        <v>201240</v>
      </c>
      <c r="AC35" s="21">
        <f t="shared" si="33"/>
        <v>201240</v>
      </c>
      <c r="AD35" s="21">
        <f t="shared" si="33"/>
        <v>201240</v>
      </c>
      <c r="AE35" s="21">
        <f t="shared" si="33"/>
        <v>201240</v>
      </c>
      <c r="AF35" s="21">
        <f t="shared" si="33"/>
        <v>201240</v>
      </c>
      <c r="AG35" s="21">
        <f t="shared" si="33"/>
        <v>201240</v>
      </c>
      <c r="AH35" s="21">
        <f t="shared" si="33"/>
        <v>201240</v>
      </c>
      <c r="AI35" s="21">
        <f t="shared" si="33"/>
        <v>201240</v>
      </c>
      <c r="AJ35" s="21">
        <f t="shared" si="33"/>
        <v>201240</v>
      </c>
      <c r="AK35" s="21">
        <f t="shared" si="33"/>
        <v>201240</v>
      </c>
      <c r="AL35" s="7"/>
      <c r="AM35" s="7"/>
    </row>
    <row r="36" spans="1:39" s="4" customFormat="1" ht="10.199999999999999" x14ac:dyDescent="0.2">
      <c r="A36" s="3"/>
      <c r="B36" s="3"/>
      <c r="C36" s="3"/>
      <c r="D36" s="9"/>
      <c r="E36" s="3"/>
      <c r="F36" s="5" t="str">
        <f>структура!$H$9</f>
        <v>в т.ч.</v>
      </c>
      <c r="G36" s="3"/>
      <c r="H36" s="3"/>
      <c r="I36" s="3"/>
      <c r="J36" s="3"/>
      <c r="K36" s="3"/>
      <c r="L36" s="1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1"/>
      <c r="B37" s="1"/>
      <c r="C37" s="1"/>
      <c r="D37" s="7"/>
      <c r="E37" s="1"/>
      <c r="F37" s="6" t="str">
        <f>структура!$F$9</f>
        <v>народный гараж</v>
      </c>
      <c r="G37" s="1"/>
      <c r="H37" s="1" t="str">
        <f>H35</f>
        <v>тыс.руб.</v>
      </c>
      <c r="I37" s="1"/>
      <c r="J37" s="1"/>
      <c r="K37" s="1"/>
      <c r="L37" s="10"/>
      <c r="M37" s="18">
        <f>M22*M27*M32/1000</f>
        <v>73968</v>
      </c>
      <c r="N37" s="18">
        <f t="shared" ref="N37:AK37" si="34">N22*N27*N32/1000</f>
        <v>77988</v>
      </c>
      <c r="O37" s="18">
        <f t="shared" si="34"/>
        <v>82008</v>
      </c>
      <c r="P37" s="18">
        <f t="shared" si="34"/>
        <v>82812</v>
      </c>
      <c r="Q37" s="18">
        <f t="shared" si="34"/>
        <v>87636</v>
      </c>
      <c r="R37" s="18">
        <f t="shared" si="34"/>
        <v>88440</v>
      </c>
      <c r="S37" s="18">
        <f t="shared" si="34"/>
        <v>94872.000000000015</v>
      </c>
      <c r="T37" s="18">
        <f t="shared" si="34"/>
        <v>99696</v>
      </c>
      <c r="U37" s="18">
        <f t="shared" si="34"/>
        <v>106896</v>
      </c>
      <c r="V37" s="18">
        <f t="shared" si="34"/>
        <v>115872</v>
      </c>
      <c r="W37" s="18">
        <f t="shared" si="34"/>
        <v>119136</v>
      </c>
      <c r="X37" s="18">
        <f t="shared" si="34"/>
        <v>119136</v>
      </c>
      <c r="Y37" s="18">
        <f t="shared" si="34"/>
        <v>124320</v>
      </c>
      <c r="Z37" s="18">
        <f t="shared" si="34"/>
        <v>124320</v>
      </c>
      <c r="AA37" s="18">
        <f t="shared" si="34"/>
        <v>126840</v>
      </c>
      <c r="AB37" s="18">
        <f t="shared" si="34"/>
        <v>131880</v>
      </c>
      <c r="AC37" s="18">
        <f t="shared" si="34"/>
        <v>131880</v>
      </c>
      <c r="AD37" s="18">
        <f t="shared" si="34"/>
        <v>131880</v>
      </c>
      <c r="AE37" s="18">
        <f t="shared" si="34"/>
        <v>131880</v>
      </c>
      <c r="AF37" s="18">
        <f t="shared" si="34"/>
        <v>131880</v>
      </c>
      <c r="AG37" s="18">
        <f t="shared" si="34"/>
        <v>131880</v>
      </c>
      <c r="AH37" s="18">
        <f t="shared" si="34"/>
        <v>131880</v>
      </c>
      <c r="AI37" s="18">
        <f t="shared" si="34"/>
        <v>131880</v>
      </c>
      <c r="AJ37" s="18">
        <f t="shared" si="34"/>
        <v>131880</v>
      </c>
      <c r="AK37" s="18">
        <f t="shared" si="34"/>
        <v>131880</v>
      </c>
      <c r="AL37" s="1"/>
      <c r="AM37" s="1"/>
    </row>
    <row r="38" spans="1:39" x14ac:dyDescent="0.25">
      <c r="A38" s="1"/>
      <c r="B38" s="1"/>
      <c r="C38" s="1"/>
      <c r="D38" s="7"/>
      <c r="E38" s="1"/>
      <c r="F38" s="6" t="str">
        <f>структура!$F$10</f>
        <v>хозяйственное ведение</v>
      </c>
      <c r="G38" s="1"/>
      <c r="H38" s="1" t="str">
        <f>H35</f>
        <v>тыс.руб.</v>
      </c>
      <c r="I38" s="1"/>
      <c r="J38" s="1"/>
      <c r="K38" s="1"/>
      <c r="L38" s="10"/>
      <c r="M38" s="18">
        <f>M23*M28*M33/1000</f>
        <v>41600</v>
      </c>
      <c r="N38" s="18">
        <f t="shared" ref="N38:AK38" si="35">N23*N28*N33/1000</f>
        <v>44200</v>
      </c>
      <c r="O38" s="18">
        <f t="shared" si="35"/>
        <v>46150</v>
      </c>
      <c r="P38" s="18">
        <f t="shared" si="35"/>
        <v>46150</v>
      </c>
      <c r="Q38" s="18">
        <f t="shared" si="35"/>
        <v>47450</v>
      </c>
      <c r="R38" s="18">
        <f t="shared" si="35"/>
        <v>53300</v>
      </c>
      <c r="S38" s="18">
        <f t="shared" si="35"/>
        <v>53950</v>
      </c>
      <c r="T38" s="18">
        <f t="shared" si="35"/>
        <v>55250</v>
      </c>
      <c r="U38" s="18">
        <f t="shared" si="35"/>
        <v>58740</v>
      </c>
      <c r="V38" s="18">
        <f t="shared" si="35"/>
        <v>61380</v>
      </c>
      <c r="W38" s="18">
        <f t="shared" si="35"/>
        <v>62040</v>
      </c>
      <c r="X38" s="18">
        <f t="shared" si="35"/>
        <v>62040</v>
      </c>
      <c r="Y38" s="18">
        <f t="shared" si="35"/>
        <v>65960.000000000015</v>
      </c>
      <c r="Z38" s="18">
        <f t="shared" si="35"/>
        <v>65960.000000000015</v>
      </c>
      <c r="AA38" s="18">
        <f t="shared" si="35"/>
        <v>66640.000000000015</v>
      </c>
      <c r="AB38" s="18">
        <f t="shared" si="35"/>
        <v>69360.000000000015</v>
      </c>
      <c r="AC38" s="18">
        <f t="shared" si="35"/>
        <v>69360.000000000015</v>
      </c>
      <c r="AD38" s="18">
        <f t="shared" si="35"/>
        <v>69360.000000000015</v>
      </c>
      <c r="AE38" s="18">
        <f t="shared" si="35"/>
        <v>69360.000000000015</v>
      </c>
      <c r="AF38" s="18">
        <f t="shared" si="35"/>
        <v>69360.000000000015</v>
      </c>
      <c r="AG38" s="18">
        <f t="shared" si="35"/>
        <v>69360.000000000015</v>
      </c>
      <c r="AH38" s="18">
        <f t="shared" si="35"/>
        <v>69360.000000000015</v>
      </c>
      <c r="AI38" s="18">
        <f t="shared" si="35"/>
        <v>69360.000000000015</v>
      </c>
      <c r="AJ38" s="18">
        <f t="shared" si="35"/>
        <v>69360.000000000015</v>
      </c>
      <c r="AK38" s="18">
        <f t="shared" si="35"/>
        <v>69360.000000000015</v>
      </c>
      <c r="AL38" s="1"/>
      <c r="AM38" s="1"/>
    </row>
    <row r="39" spans="1:39" x14ac:dyDescent="0.25">
      <c r="A39" s="1"/>
      <c r="B39" s="1"/>
      <c r="C39" s="1"/>
      <c r="D39" s="7"/>
      <c r="E39" s="1"/>
      <c r="F39" s="1"/>
      <c r="G39" s="1"/>
      <c r="H39" s="1"/>
      <c r="I39" s="1"/>
      <c r="J39" s="1"/>
      <c r="K39" s="1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8" customFormat="1" x14ac:dyDescent="0.25">
      <c r="A40" s="7"/>
      <c r="B40" s="7"/>
      <c r="C40" s="7"/>
      <c r="D40" s="7" t="str">
        <f>структура!$D$11</f>
        <v>Поступления ДС</v>
      </c>
      <c r="E40" s="7"/>
      <c r="F40" s="7" t="str">
        <f>KPI!$F$16</f>
        <v>распределение поступлений арендных платежей</v>
      </c>
      <c r="G40" s="7"/>
      <c r="H40" s="7" t="str">
        <f>INDEX(KPI!$H:$H,SUMIFS(KPI!$D:$D,KPI!$F:$F,$F40))</f>
        <v>%</v>
      </c>
      <c r="I40" s="7"/>
      <c r="J40" s="7"/>
      <c r="K40" s="7"/>
      <c r="L40" s="1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7"/>
      <c r="AM40" s="7"/>
    </row>
    <row r="41" spans="1:39" s="4" customFormat="1" ht="10.199999999999999" x14ac:dyDescent="0.2">
      <c r="A41" s="3"/>
      <c r="B41" s="3"/>
      <c r="C41" s="3"/>
      <c r="D41" s="9"/>
      <c r="E41" s="3"/>
      <c r="F41" s="5" t="str">
        <f>структура!$H$9</f>
        <v>в т.ч.</v>
      </c>
      <c r="G41" s="3"/>
      <c r="H41" s="3"/>
      <c r="I41" s="3"/>
      <c r="J41" s="3"/>
      <c r="K41" s="3"/>
      <c r="L41" s="1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1"/>
      <c r="B42" s="1"/>
      <c r="C42" s="1"/>
      <c r="D42" s="7"/>
      <c r="E42" s="1"/>
      <c r="F42" s="6" t="str">
        <f>структура!$F$9</f>
        <v>народный гараж</v>
      </c>
      <c r="G42" s="1"/>
      <c r="H42" s="1" t="str">
        <f>H40</f>
        <v>%</v>
      </c>
      <c r="I42" s="1"/>
      <c r="J42" s="1"/>
      <c r="K42" s="1"/>
      <c r="L42" s="10" t="s">
        <v>10</v>
      </c>
      <c r="M42" s="24">
        <v>0.7</v>
      </c>
      <c r="N42" s="24">
        <v>0.25</v>
      </c>
      <c r="O42" s="24">
        <v>0.03</v>
      </c>
      <c r="P42" s="24">
        <v>0.01</v>
      </c>
      <c r="Q42" s="24">
        <v>0.01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5">
        <v>0</v>
      </c>
      <c r="AK42" s="26">
        <f>100%-SUM(M42:AJ42)</f>
        <v>0</v>
      </c>
      <c r="AL42" s="1"/>
      <c r="AM42" s="1"/>
    </row>
    <row r="43" spans="1:39" x14ac:dyDescent="0.25">
      <c r="A43" s="1"/>
      <c r="B43" s="1"/>
      <c r="C43" s="1"/>
      <c r="D43" s="7"/>
      <c r="E43" s="1"/>
      <c r="F43" s="6" t="str">
        <f>структура!$F$10</f>
        <v>хозяйственное ведение</v>
      </c>
      <c r="G43" s="1"/>
      <c r="H43" s="1" t="str">
        <f>H40</f>
        <v>%</v>
      </c>
      <c r="I43" s="1"/>
      <c r="J43" s="1"/>
      <c r="K43" s="1"/>
      <c r="L43" s="10" t="s">
        <v>10</v>
      </c>
      <c r="M43" s="24">
        <v>0.75</v>
      </c>
      <c r="N43" s="24">
        <v>0.2</v>
      </c>
      <c r="O43" s="24">
        <v>0.03</v>
      </c>
      <c r="P43" s="24">
        <v>0.01</v>
      </c>
      <c r="Q43" s="24">
        <v>0.01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5">
        <v>0</v>
      </c>
      <c r="AK43" s="26">
        <f>100%-SUM(M43:AJ43)</f>
        <v>0</v>
      </c>
      <c r="AL43" s="1"/>
      <c r="AM43" s="1"/>
    </row>
    <row r="44" spans="1:39" x14ac:dyDescent="0.25">
      <c r="A44" s="1"/>
      <c r="B44" s="1"/>
      <c r="C44" s="1"/>
      <c r="D44" s="7"/>
      <c r="E44" s="1"/>
      <c r="F44" s="1"/>
      <c r="G44" s="1"/>
      <c r="H44" s="1"/>
      <c r="I44" s="1"/>
      <c r="J44" s="1"/>
      <c r="K44" s="1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8" customFormat="1" x14ac:dyDescent="0.25">
      <c r="A45" s="7"/>
      <c r="B45" s="7"/>
      <c r="C45" s="7"/>
      <c r="D45" s="7"/>
      <c r="E45" s="7"/>
      <c r="F45" s="7" t="str">
        <f>KPI!$F$17</f>
        <v>обратное распр-ние поступлений арендных платежей</v>
      </c>
      <c r="G45" s="7"/>
      <c r="H45" s="7" t="str">
        <f>INDEX(KPI!$H:$H,SUMIFS(KPI!$D:$D,KPI!$F:$F,$F45))</f>
        <v>%</v>
      </c>
      <c r="I45" s="7"/>
      <c r="J45" s="7"/>
      <c r="K45" s="7"/>
      <c r="L45" s="1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7"/>
      <c r="AM45" s="7"/>
    </row>
    <row r="46" spans="1:39" s="4" customFormat="1" ht="10.199999999999999" x14ac:dyDescent="0.2">
      <c r="A46" s="3"/>
      <c r="B46" s="3"/>
      <c r="C46" s="3"/>
      <c r="D46" s="9"/>
      <c r="E46" s="3"/>
      <c r="F46" s="5" t="str">
        <f>структура!$H$9</f>
        <v>в т.ч.</v>
      </c>
      <c r="G46" s="3"/>
      <c r="H46" s="3"/>
      <c r="I46" s="3"/>
      <c r="J46" s="3"/>
      <c r="K46" s="3"/>
      <c r="L46" s="1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1"/>
      <c r="B47" s="1"/>
      <c r="C47" s="1"/>
      <c r="D47" s="7"/>
      <c r="E47" s="1"/>
      <c r="F47" s="6" t="str">
        <f>структура!$F$9</f>
        <v>народный гараж</v>
      </c>
      <c r="G47" s="1"/>
      <c r="H47" s="1" t="str">
        <f>H45</f>
        <v>%</v>
      </c>
      <c r="I47" s="1"/>
      <c r="J47" s="1"/>
      <c r="K47" s="1"/>
      <c r="L47" s="10"/>
      <c r="M47" s="23">
        <f t="shared" ref="M47:AK47" si="36">SUMIFS(42:42,$1:$1,M$2)</f>
        <v>0</v>
      </c>
      <c r="N47" s="23">
        <f t="shared" si="36"/>
        <v>0</v>
      </c>
      <c r="O47" s="23">
        <f t="shared" si="36"/>
        <v>0</v>
      </c>
      <c r="P47" s="23">
        <f t="shared" si="36"/>
        <v>0</v>
      </c>
      <c r="Q47" s="23">
        <f t="shared" si="36"/>
        <v>0</v>
      </c>
      <c r="R47" s="23">
        <f t="shared" si="36"/>
        <v>0</v>
      </c>
      <c r="S47" s="23">
        <f t="shared" si="36"/>
        <v>0</v>
      </c>
      <c r="T47" s="23">
        <f t="shared" si="36"/>
        <v>0</v>
      </c>
      <c r="U47" s="23">
        <f t="shared" si="36"/>
        <v>0</v>
      </c>
      <c r="V47" s="23">
        <f t="shared" si="36"/>
        <v>0</v>
      </c>
      <c r="W47" s="23">
        <f t="shared" si="36"/>
        <v>0</v>
      </c>
      <c r="X47" s="23">
        <f t="shared" si="36"/>
        <v>0</v>
      </c>
      <c r="Y47" s="23">
        <f t="shared" si="36"/>
        <v>0</v>
      </c>
      <c r="Z47" s="23">
        <f t="shared" si="36"/>
        <v>0</v>
      </c>
      <c r="AA47" s="23">
        <f t="shared" si="36"/>
        <v>0</v>
      </c>
      <c r="AB47" s="23">
        <f t="shared" si="36"/>
        <v>0</v>
      </c>
      <c r="AC47" s="23">
        <f t="shared" si="36"/>
        <v>0</v>
      </c>
      <c r="AD47" s="23">
        <f t="shared" si="36"/>
        <v>0</v>
      </c>
      <c r="AE47" s="23">
        <f t="shared" si="36"/>
        <v>0</v>
      </c>
      <c r="AF47" s="23">
        <f t="shared" si="36"/>
        <v>0</v>
      </c>
      <c r="AG47" s="23">
        <f t="shared" si="36"/>
        <v>0.01</v>
      </c>
      <c r="AH47" s="23">
        <f t="shared" si="36"/>
        <v>0.01</v>
      </c>
      <c r="AI47" s="23">
        <f t="shared" si="36"/>
        <v>0.03</v>
      </c>
      <c r="AJ47" s="23">
        <f t="shared" si="36"/>
        <v>0.25</v>
      </c>
      <c r="AK47" s="23">
        <f t="shared" si="36"/>
        <v>0.7</v>
      </c>
      <c r="AL47" s="1"/>
      <c r="AM47" s="1"/>
    </row>
    <row r="48" spans="1:39" x14ac:dyDescent="0.25">
      <c r="A48" s="1"/>
      <c r="B48" s="1"/>
      <c r="C48" s="1"/>
      <c r="D48" s="7"/>
      <c r="E48" s="1"/>
      <c r="F48" s="6" t="str">
        <f>структура!$F$10</f>
        <v>хозяйственное ведение</v>
      </c>
      <c r="G48" s="1"/>
      <c r="H48" s="1" t="str">
        <f>H45</f>
        <v>%</v>
      </c>
      <c r="I48" s="1"/>
      <c r="J48" s="1"/>
      <c r="K48" s="1"/>
      <c r="L48" s="10"/>
      <c r="M48" s="23">
        <f t="shared" ref="M48:AK48" si="37">SUMIFS(43:43,$1:$1,M$2)</f>
        <v>0</v>
      </c>
      <c r="N48" s="23">
        <f t="shared" si="37"/>
        <v>0</v>
      </c>
      <c r="O48" s="23">
        <f t="shared" si="37"/>
        <v>0</v>
      </c>
      <c r="P48" s="23">
        <f t="shared" si="37"/>
        <v>0</v>
      </c>
      <c r="Q48" s="23">
        <f t="shared" si="37"/>
        <v>0</v>
      </c>
      <c r="R48" s="23">
        <f t="shared" si="37"/>
        <v>0</v>
      </c>
      <c r="S48" s="23">
        <f t="shared" si="37"/>
        <v>0</v>
      </c>
      <c r="T48" s="23">
        <f t="shared" si="37"/>
        <v>0</v>
      </c>
      <c r="U48" s="23">
        <f t="shared" si="37"/>
        <v>0</v>
      </c>
      <c r="V48" s="23">
        <f t="shared" si="37"/>
        <v>0</v>
      </c>
      <c r="W48" s="23">
        <f t="shared" si="37"/>
        <v>0</v>
      </c>
      <c r="X48" s="23">
        <f t="shared" si="37"/>
        <v>0</v>
      </c>
      <c r="Y48" s="23">
        <f t="shared" si="37"/>
        <v>0</v>
      </c>
      <c r="Z48" s="23">
        <f t="shared" si="37"/>
        <v>0</v>
      </c>
      <c r="AA48" s="23">
        <f t="shared" si="37"/>
        <v>0</v>
      </c>
      <c r="AB48" s="23">
        <f t="shared" si="37"/>
        <v>0</v>
      </c>
      <c r="AC48" s="23">
        <f t="shared" si="37"/>
        <v>0</v>
      </c>
      <c r="AD48" s="23">
        <f t="shared" si="37"/>
        <v>0</v>
      </c>
      <c r="AE48" s="23">
        <f t="shared" si="37"/>
        <v>0</v>
      </c>
      <c r="AF48" s="23">
        <f t="shared" si="37"/>
        <v>0</v>
      </c>
      <c r="AG48" s="23">
        <f t="shared" si="37"/>
        <v>0.01</v>
      </c>
      <c r="AH48" s="23">
        <f t="shared" si="37"/>
        <v>0.01</v>
      </c>
      <c r="AI48" s="23">
        <f t="shared" si="37"/>
        <v>0.03</v>
      </c>
      <c r="AJ48" s="23">
        <f t="shared" si="37"/>
        <v>0.2</v>
      </c>
      <c r="AK48" s="23">
        <f t="shared" si="37"/>
        <v>0.75</v>
      </c>
      <c r="AL48" s="1"/>
      <c r="AM48" s="1"/>
    </row>
    <row r="49" spans="1:39" x14ac:dyDescent="0.25">
      <c r="A49" s="1"/>
      <c r="B49" s="1"/>
      <c r="C49" s="1"/>
      <c r="D49" s="7"/>
      <c r="E49" s="1"/>
      <c r="F49" s="1"/>
      <c r="G49" s="1"/>
      <c r="H49" s="1"/>
      <c r="I49" s="1"/>
      <c r="J49" s="1"/>
      <c r="K49" s="1"/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8" customFormat="1" x14ac:dyDescent="0.25">
      <c r="A50" s="7"/>
      <c r="B50" s="7"/>
      <c r="C50" s="7"/>
      <c r="D50" s="20" t="str">
        <f>структура!$D$12</f>
        <v>CFIn</v>
      </c>
      <c r="E50" s="7"/>
      <c r="F50" s="20" t="str">
        <f>KPI!$F$18</f>
        <v>поступления ДС от клиентов</v>
      </c>
      <c r="G50" s="7"/>
      <c r="H50" s="20" t="str">
        <f>INDEX(KPI!$H:$H,SUMIFS(KPI!$D:$D,KPI!$F:$F,$F50))</f>
        <v>тыс.руб.</v>
      </c>
      <c r="I50" s="7"/>
      <c r="J50" s="7"/>
      <c r="K50" s="7"/>
      <c r="L50" s="10"/>
      <c r="M50" s="21">
        <f>SUM(M51:M53)</f>
        <v>82977.600000000006</v>
      </c>
      <c r="N50" s="21">
        <f t="shared" ref="N50" si="38">SUM(N51:N53)</f>
        <v>114553.60000000001</v>
      </c>
      <c r="O50" s="21">
        <f t="shared" ref="O50" si="39">SUM(O51:O53)</f>
        <v>123822.14</v>
      </c>
      <c r="P50" s="21">
        <f t="shared" ref="P50" si="40">SUM(P51:P53)</f>
        <v>127134.22</v>
      </c>
      <c r="Q50" s="21">
        <f t="shared" ref="Q50" si="41">SUM(Q51:Q53)</f>
        <v>133088</v>
      </c>
      <c r="R50" s="21">
        <f t="shared" ref="R50" si="42">SUM(R51:R53)</f>
        <v>139654.32</v>
      </c>
      <c r="S50" s="21">
        <f t="shared" ref="S50" si="43">SUM(S51:S53)</f>
        <v>146266.68</v>
      </c>
      <c r="T50" s="21">
        <f t="shared" ref="T50" si="44">SUM(T51:T53)</f>
        <v>152625.38</v>
      </c>
      <c r="U50" s="21">
        <f t="shared" ref="U50" si="45">SUM(U51:U53)</f>
        <v>162089.12</v>
      </c>
      <c r="V50" s="21">
        <f t="shared" ref="V50" si="46">SUM(V51:V53)</f>
        <v>173171.4</v>
      </c>
      <c r="W50" s="21">
        <f t="shared" ref="W50" si="47">SUM(W51:W53)</f>
        <v>179175.96</v>
      </c>
      <c r="X50" s="21">
        <f t="shared" ref="X50" si="48">SUM(X51:X53)</f>
        <v>180640.58000000002</v>
      </c>
      <c r="Y50" s="21">
        <f t="shared" ref="Y50" si="49">SUM(Y51:Y53)</f>
        <v>187550.16000000003</v>
      </c>
      <c r="Z50" s="21">
        <f t="shared" ref="Z50" si="50">SUM(Z51:Z53)</f>
        <v>189785.56000000003</v>
      </c>
      <c r="AA50" s="21">
        <f t="shared" ref="AA50" si="51">SUM(AA51:AA53)</f>
        <v>192371.92000000004</v>
      </c>
      <c r="AB50" s="21">
        <f t="shared" ref="AB50" si="52">SUM(AB51:AB53)</f>
        <v>198796.96000000002</v>
      </c>
      <c r="AC50" s="21">
        <f t="shared" ref="AC50" si="53">SUM(AC51:AC53)</f>
        <v>200788.00000000003</v>
      </c>
      <c r="AD50" s="21">
        <f t="shared" ref="AD50" si="54">SUM(AD51:AD53)</f>
        <v>201052.80000000002</v>
      </c>
      <c r="AE50" s="21">
        <f t="shared" ref="AE50" si="55">SUM(AE51:AE53)</f>
        <v>201162.40000000002</v>
      </c>
      <c r="AF50" s="21">
        <f t="shared" ref="AF50" si="56">SUM(AF51:AF53)</f>
        <v>201240</v>
      </c>
      <c r="AG50" s="21">
        <f t="shared" ref="AG50" si="57">SUM(AG51:AG53)</f>
        <v>201240</v>
      </c>
      <c r="AH50" s="21">
        <f t="shared" ref="AH50" si="58">SUM(AH51:AH53)</f>
        <v>201240</v>
      </c>
      <c r="AI50" s="21">
        <f t="shared" ref="AI50" si="59">SUM(AI51:AI53)</f>
        <v>201240</v>
      </c>
      <c r="AJ50" s="21">
        <f t="shared" ref="AJ50" si="60">SUM(AJ51:AJ53)</f>
        <v>201240</v>
      </c>
      <c r="AK50" s="21">
        <f t="shared" ref="AK50" si="61">SUM(AK51:AK53)</f>
        <v>201240</v>
      </c>
      <c r="AL50" s="7"/>
      <c r="AM50" s="7"/>
    </row>
    <row r="51" spans="1:39" s="4" customFormat="1" ht="10.199999999999999" x14ac:dyDescent="0.2">
      <c r="A51" s="3"/>
      <c r="B51" s="3"/>
      <c r="C51" s="3"/>
      <c r="D51" s="9"/>
      <c r="E51" s="3"/>
      <c r="F51" s="5" t="str">
        <f>структура!$H$9</f>
        <v>в т.ч.</v>
      </c>
      <c r="G51" s="3"/>
      <c r="H51" s="3"/>
      <c r="I51" s="3"/>
      <c r="J51" s="3"/>
      <c r="K51" s="3"/>
      <c r="L51" s="1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1"/>
      <c r="B52" s="1"/>
      <c r="C52" s="1"/>
      <c r="D52" s="7"/>
      <c r="E52" s="1"/>
      <c r="F52" s="6" t="str">
        <f>структура!$F$9</f>
        <v>народный гараж</v>
      </c>
      <c r="G52" s="1"/>
      <c r="H52" s="1" t="str">
        <f>H50</f>
        <v>тыс.руб.</v>
      </c>
      <c r="I52" s="1"/>
      <c r="J52" s="1"/>
      <c r="K52" s="1"/>
      <c r="L52" s="10"/>
      <c r="M52" s="18">
        <f>SUMPRODUCT(M37:M37,AK47)</f>
        <v>51777.599999999999</v>
      </c>
      <c r="N52" s="18">
        <f>SUMPRODUCT(M37:N37,AJ47:AK47)</f>
        <v>73083.600000000006</v>
      </c>
      <c r="O52" s="18">
        <f>SUMPRODUCT(M37:O37,AI47:AK47)</f>
        <v>79121.64</v>
      </c>
      <c r="P52" s="18">
        <f>SUMPRODUCT(M37:P37,AH47:AK47)</f>
        <v>81549.72</v>
      </c>
      <c r="Q52" s="18">
        <f>SUMPRODUCT(M37:Q37,AG47:AK47)</f>
        <v>86028</v>
      </c>
      <c r="R52" s="18">
        <f>SUMPRODUCT(M37:R37,AF47:AK47)</f>
        <v>87901.319999999992</v>
      </c>
      <c r="S52" s="18">
        <f>SUMPRODUCT(M37:S37,AE47:AK47)</f>
        <v>92797.680000000008</v>
      </c>
      <c r="T52" s="18">
        <f>SUMPRODUCT(M37:T37,AD47:AK47)</f>
        <v>97862.88</v>
      </c>
      <c r="U52" s="18">
        <f>SUMPRODUCT(M37:U37,AC47:AK47)</f>
        <v>104358.12</v>
      </c>
      <c r="V52" s="18">
        <f>SUMPRODUCT(M37:V37,AB47:AK47)</f>
        <v>112658.4</v>
      </c>
      <c r="W52" s="18">
        <f>SUMPRODUCT(M37:W37,AA47:AK47)</f>
        <v>117515.76</v>
      </c>
      <c r="X52" s="18">
        <f>SUMPRODUCT(M37:X37,Z47:AK47)</f>
        <v>118721.28</v>
      </c>
      <c r="Y52" s="18">
        <f>SUMPRODUCT(M37:Y37,Y47:AK47)</f>
        <v>122609.76000000001</v>
      </c>
      <c r="Z52" s="18">
        <f>SUMPRODUCT(M37:Z37,X47:AK47)</f>
        <v>124028.16</v>
      </c>
      <c r="AA52" s="18">
        <f>SUMPRODUCT(M37:AA37,W47:AK47)</f>
        <v>125980.32</v>
      </c>
      <c r="AB52" s="18">
        <f>SUMPRODUCT(M37:AB37,V47:AK47)</f>
        <v>130190.16</v>
      </c>
      <c r="AC52" s="18">
        <f>SUMPRODUCT(M37:AC37,U47:AK47)</f>
        <v>131577.60000000001</v>
      </c>
      <c r="AD52" s="18">
        <f>SUMPRODUCT(M37:AD37,T47:AK47)</f>
        <v>131754</v>
      </c>
      <c r="AE52" s="18">
        <f>SUMPRODUCT(M37:AE37,S47:AK47)</f>
        <v>131829.6</v>
      </c>
      <c r="AF52" s="18">
        <f>SUMPRODUCT(M37:AF37,R47:AK47)</f>
        <v>131880</v>
      </c>
      <c r="AG52" s="18">
        <f>SUMPRODUCT(M37:AG37,Q47:AK47)</f>
        <v>131880</v>
      </c>
      <c r="AH52" s="18">
        <f>SUMPRODUCT(M37:AH37,P47:AK47)</f>
        <v>131880</v>
      </c>
      <c r="AI52" s="18">
        <f>SUMPRODUCT(M37:AI37,O47:AK47)</f>
        <v>131880</v>
      </c>
      <c r="AJ52" s="18">
        <f>SUMPRODUCT(M37:AJ37,N47:AK47)</f>
        <v>131880</v>
      </c>
      <c r="AK52" s="18">
        <f>SUMPRODUCT(M37:AK37,M47:AK47)</f>
        <v>131880</v>
      </c>
      <c r="AL52" s="1"/>
      <c r="AM52" s="1"/>
    </row>
    <row r="53" spans="1:39" x14ac:dyDescent="0.25">
      <c r="A53" s="1"/>
      <c r="B53" s="1"/>
      <c r="C53" s="1"/>
      <c r="D53" s="7"/>
      <c r="E53" s="1"/>
      <c r="F53" s="6" t="str">
        <f>структура!$F$10</f>
        <v>хозяйственное ведение</v>
      </c>
      <c r="G53" s="1"/>
      <c r="H53" s="1" t="str">
        <f>H50</f>
        <v>тыс.руб.</v>
      </c>
      <c r="I53" s="1"/>
      <c r="J53" s="1"/>
      <c r="K53" s="1"/>
      <c r="L53" s="10"/>
      <c r="M53" s="18">
        <f>SUMPRODUCT(M38:M38,AK48)</f>
        <v>31200</v>
      </c>
      <c r="N53" s="18">
        <f>SUMPRODUCT(M38:N38,AJ48:AK48)</f>
        <v>41470</v>
      </c>
      <c r="O53" s="18">
        <f>SUMPRODUCT(M38:O38,AI48:AK48)</f>
        <v>44700.5</v>
      </c>
      <c r="P53" s="18">
        <f>SUMPRODUCT(M38:P38,AH48:AK48)</f>
        <v>45584.5</v>
      </c>
      <c r="Q53" s="18">
        <f>SUMPRODUCT(M38:Q38,AG48:AK48)</f>
        <v>47060</v>
      </c>
      <c r="R53" s="18">
        <f>SUMPRODUCT(M38:R38,AF48:AK48)</f>
        <v>51753</v>
      </c>
      <c r="S53" s="18">
        <f>SUMPRODUCT(M38:S38,AE48:AK48)</f>
        <v>53469</v>
      </c>
      <c r="T53" s="18">
        <f>SUMPRODUCT(M38:T38,AD48:AK48)</f>
        <v>54762.5</v>
      </c>
      <c r="U53" s="18">
        <f>SUMPRODUCT(M38:U38,AC48:AK48)</f>
        <v>57731</v>
      </c>
      <c r="V53" s="18">
        <f>SUMPRODUCT(M38:V38,AB48:AK48)</f>
        <v>60513</v>
      </c>
      <c r="W53" s="18">
        <f>SUMPRODUCT(M38:W38,AA48:AK48)</f>
        <v>61660.2</v>
      </c>
      <c r="X53" s="18">
        <f>SUMPRODUCT(M38:X38,Z48:AK48)</f>
        <v>61919.3</v>
      </c>
      <c r="Y53" s="18">
        <f>SUMPRODUCT(M38:Y38,Y48:AK48)</f>
        <v>64940.400000000016</v>
      </c>
      <c r="Z53" s="18">
        <f>SUMPRODUCT(M38:Z38,X48:AK48)</f>
        <v>65757.400000000023</v>
      </c>
      <c r="AA53" s="18">
        <f>SUMPRODUCT(M38:AA38,W48:AK48)</f>
        <v>66391.60000000002</v>
      </c>
      <c r="AB53" s="18">
        <f>SUMPRODUCT(M38:AB38,V48:AK48)</f>
        <v>68606.800000000017</v>
      </c>
      <c r="AC53" s="18">
        <f>SUMPRODUCT(M38:AC38,U48:AK48)</f>
        <v>69210.400000000023</v>
      </c>
      <c r="AD53" s="18">
        <f>SUMPRODUCT(M38:AD38,T48:AK48)</f>
        <v>69298.800000000017</v>
      </c>
      <c r="AE53" s="18">
        <f>SUMPRODUCT(M38:AE38,S48:AK48)</f>
        <v>69332.800000000017</v>
      </c>
      <c r="AF53" s="18">
        <f>SUMPRODUCT(M38:AF38,R48:AK48)</f>
        <v>69360.000000000015</v>
      </c>
      <c r="AG53" s="18">
        <f>SUMPRODUCT(M38:AG38,Q48:AK48)</f>
        <v>69360.000000000015</v>
      </c>
      <c r="AH53" s="18">
        <f>SUMPRODUCT(M38:AH38,P48:AK48)</f>
        <v>69360.000000000015</v>
      </c>
      <c r="AI53" s="18">
        <f>SUMPRODUCT(M38:AI38,O48:AK48)</f>
        <v>69360.000000000015</v>
      </c>
      <c r="AJ53" s="18">
        <f>SUMPRODUCT(M38:AJ38,N48:AK48)</f>
        <v>69360.000000000015</v>
      </c>
      <c r="AK53" s="18">
        <f>SUMPRODUCT(M38:AK38,M48:AK48)</f>
        <v>69360.000000000015</v>
      </c>
      <c r="AL53" s="1"/>
      <c r="AM53" s="1"/>
    </row>
    <row r="54" spans="1:39" x14ac:dyDescent="0.25">
      <c r="A54" s="1"/>
      <c r="B54" s="1"/>
      <c r="C54" s="1"/>
      <c r="D54" s="7"/>
      <c r="E54" s="1"/>
      <c r="F54" s="1"/>
      <c r="G54" s="1"/>
      <c r="H54" s="1"/>
      <c r="I54" s="1"/>
      <c r="J54" s="1"/>
      <c r="K54" s="1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8" customFormat="1" x14ac:dyDescent="0.25">
      <c r="A55" s="7"/>
      <c r="B55" s="7"/>
      <c r="C55" s="7"/>
      <c r="D55" s="7" t="str">
        <f>структура!$D$13</f>
        <v>Расходы</v>
      </c>
      <c r="E55" s="7"/>
      <c r="F55" s="7" t="str">
        <f>KPI!$F$19</f>
        <v>средняя арендная себестоимость 1ого м/места</v>
      </c>
      <c r="G55" s="7"/>
      <c r="H55" s="7" t="str">
        <f>INDEX(KPI!$H:$H,SUMIFS(KPI!$D:$D,KPI!$F:$F,$F55))</f>
        <v>руб.</v>
      </c>
      <c r="I55" s="7"/>
      <c r="J55" s="7"/>
      <c r="K55" s="7"/>
      <c r="L55" s="10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7"/>
      <c r="AM55" s="7"/>
    </row>
    <row r="56" spans="1:39" s="4" customFormat="1" ht="10.199999999999999" x14ac:dyDescent="0.2">
      <c r="A56" s="3"/>
      <c r="B56" s="3"/>
      <c r="C56" s="3"/>
      <c r="D56" s="9"/>
      <c r="E56" s="3"/>
      <c r="F56" s="5" t="str">
        <f>структура!$H$9</f>
        <v>в т.ч.</v>
      </c>
      <c r="G56" s="3"/>
      <c r="H56" s="3"/>
      <c r="I56" s="3"/>
      <c r="J56" s="3"/>
      <c r="K56" s="3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1"/>
      <c r="B57" s="1"/>
      <c r="C57" s="1"/>
      <c r="D57" s="7"/>
      <c r="E57" s="1"/>
      <c r="F57" s="6" t="str">
        <f>структура!$F$9</f>
        <v>народный гараж</v>
      </c>
      <c r="G57" s="1"/>
      <c r="H57" s="1" t="str">
        <f>H55</f>
        <v>руб.</v>
      </c>
      <c r="I57" s="1"/>
      <c r="J57" s="1"/>
      <c r="K57" s="1"/>
      <c r="L57" s="10" t="s">
        <v>10</v>
      </c>
      <c r="M57" s="13">
        <v>1000</v>
      </c>
      <c r="N57" s="13">
        <v>1000</v>
      </c>
      <c r="O57" s="13">
        <v>1000</v>
      </c>
      <c r="P57" s="13">
        <v>1000</v>
      </c>
      <c r="Q57" s="13">
        <v>1000</v>
      </c>
      <c r="R57" s="13">
        <v>1000</v>
      </c>
      <c r="S57" s="13">
        <v>1000</v>
      </c>
      <c r="T57" s="13">
        <v>1000</v>
      </c>
      <c r="U57" s="13">
        <v>1000</v>
      </c>
      <c r="V57" s="13">
        <v>1000</v>
      </c>
      <c r="W57" s="13">
        <v>1000</v>
      </c>
      <c r="X57" s="13">
        <v>1000</v>
      </c>
      <c r="Y57" s="13">
        <v>1000</v>
      </c>
      <c r="Z57" s="13">
        <v>1000</v>
      </c>
      <c r="AA57" s="13">
        <v>1000</v>
      </c>
      <c r="AB57" s="13">
        <v>1000</v>
      </c>
      <c r="AC57" s="13">
        <v>1000</v>
      </c>
      <c r="AD57" s="13">
        <v>1000</v>
      </c>
      <c r="AE57" s="13">
        <v>1000</v>
      </c>
      <c r="AF57" s="13">
        <v>1000</v>
      </c>
      <c r="AG57" s="13">
        <v>1000</v>
      </c>
      <c r="AH57" s="13">
        <v>1000</v>
      </c>
      <c r="AI57" s="13">
        <v>1000</v>
      </c>
      <c r="AJ57" s="13">
        <v>1000</v>
      </c>
      <c r="AK57" s="13">
        <v>1000</v>
      </c>
      <c r="AL57" s="1"/>
      <c r="AM57" s="1"/>
    </row>
    <row r="58" spans="1:39" x14ac:dyDescent="0.25">
      <c r="A58" s="1"/>
      <c r="B58" s="1"/>
      <c r="C58" s="1"/>
      <c r="D58" s="7"/>
      <c r="E58" s="1"/>
      <c r="F58" s="6" t="str">
        <f>структура!$F$10</f>
        <v>хозяйственное ведение</v>
      </c>
      <c r="G58" s="1"/>
      <c r="H58" s="1" t="str">
        <f>H55</f>
        <v>руб.</v>
      </c>
      <c r="I58" s="1"/>
      <c r="J58" s="1"/>
      <c r="K58" s="1"/>
      <c r="L58" s="10" t="s">
        <v>10</v>
      </c>
      <c r="M58" s="13">
        <v>1500</v>
      </c>
      <c r="N58" s="13">
        <v>1500</v>
      </c>
      <c r="O58" s="13">
        <v>1500</v>
      </c>
      <c r="P58" s="13">
        <v>1500</v>
      </c>
      <c r="Q58" s="13">
        <v>1500</v>
      </c>
      <c r="R58" s="13">
        <v>1500</v>
      </c>
      <c r="S58" s="13">
        <v>1500</v>
      </c>
      <c r="T58" s="13">
        <v>1500</v>
      </c>
      <c r="U58" s="13">
        <v>1500</v>
      </c>
      <c r="V58" s="13">
        <v>1500</v>
      </c>
      <c r="W58" s="13">
        <v>1500</v>
      </c>
      <c r="X58" s="13">
        <v>1500</v>
      </c>
      <c r="Y58" s="13">
        <v>1500</v>
      </c>
      <c r="Z58" s="13">
        <v>1500</v>
      </c>
      <c r="AA58" s="13">
        <v>1500</v>
      </c>
      <c r="AB58" s="13">
        <v>1500</v>
      </c>
      <c r="AC58" s="13">
        <v>1500</v>
      </c>
      <c r="AD58" s="13">
        <v>1500</v>
      </c>
      <c r="AE58" s="13">
        <v>1500</v>
      </c>
      <c r="AF58" s="13">
        <v>1500</v>
      </c>
      <c r="AG58" s="13">
        <v>1500</v>
      </c>
      <c r="AH58" s="13">
        <v>1500</v>
      </c>
      <c r="AI58" s="13">
        <v>1500</v>
      </c>
      <c r="AJ58" s="13">
        <v>1500</v>
      </c>
      <c r="AK58" s="13">
        <v>1500</v>
      </c>
      <c r="AL58" s="1"/>
      <c r="AM58" s="1"/>
    </row>
    <row r="59" spans="1:39" x14ac:dyDescent="0.25">
      <c r="A59" s="1"/>
      <c r="B59" s="1"/>
      <c r="C59" s="1"/>
      <c r="D59" s="7"/>
      <c r="E59" s="1"/>
      <c r="F59" s="1"/>
      <c r="G59" s="1"/>
      <c r="H59" s="1"/>
      <c r="I59" s="1"/>
      <c r="J59" s="1"/>
      <c r="K59" s="1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8" customFormat="1" x14ac:dyDescent="0.25">
      <c r="A60" s="7"/>
      <c r="B60" s="7"/>
      <c r="C60" s="7"/>
      <c r="D60" s="27" t="str">
        <f>структура!$D$14</f>
        <v>Себестоимость</v>
      </c>
      <c r="E60" s="7"/>
      <c r="F60" s="27" t="str">
        <f>KPI!$F$20</f>
        <v>арендная себестоимость приобретения м/мест</v>
      </c>
      <c r="G60" s="7"/>
      <c r="H60" s="27" t="str">
        <f>INDEX(KPI!$H:$H,SUMIFS(KPI!$D:$D,KPI!$F:$F,$F60))</f>
        <v>тыс.руб.</v>
      </c>
      <c r="I60" s="7"/>
      <c r="J60" s="7"/>
      <c r="K60" s="7"/>
      <c r="L60" s="10"/>
      <c r="M60" s="28">
        <f>SUM(M61:M63)</f>
        <v>56000</v>
      </c>
      <c r="N60" s="28">
        <f t="shared" ref="N60" si="62">SUM(N61:N63)</f>
        <v>59200</v>
      </c>
      <c r="O60" s="28">
        <f t="shared" ref="O60" si="63">SUM(O61:O63)</f>
        <v>62100</v>
      </c>
      <c r="P60" s="28">
        <f t="shared" ref="P60" si="64">SUM(P61:P63)</f>
        <v>62500</v>
      </c>
      <c r="Q60" s="28">
        <f t="shared" ref="Q60" si="65">SUM(Q61:Q63)</f>
        <v>65500</v>
      </c>
      <c r="R60" s="28">
        <f t="shared" ref="R60" si="66">SUM(R61:R63)</f>
        <v>68600</v>
      </c>
      <c r="S60" s="28">
        <f t="shared" ref="S60" si="67">SUM(S61:S63)</f>
        <v>72100</v>
      </c>
      <c r="T60" s="28">
        <f t="shared" ref="T60" si="68">SUM(T61:T63)</f>
        <v>75100</v>
      </c>
      <c r="U60" s="28">
        <f t="shared" ref="U60" si="69">SUM(U61:U63)</f>
        <v>79100</v>
      </c>
      <c r="V60" s="28">
        <f t="shared" ref="V60" si="70">SUM(V61:V63)</f>
        <v>84700</v>
      </c>
      <c r="W60" s="28">
        <f t="shared" ref="W60" si="71">SUM(W61:W63)</f>
        <v>86600</v>
      </c>
      <c r="X60" s="28">
        <f t="shared" ref="X60" si="72">SUM(X61:X63)</f>
        <v>86600</v>
      </c>
      <c r="Y60" s="28">
        <f t="shared" ref="Y60" si="73">SUM(Y61:Y63)</f>
        <v>88300</v>
      </c>
      <c r="Z60" s="28">
        <f t="shared" ref="Z60" si="74">SUM(Z61:Z63)</f>
        <v>88300</v>
      </c>
      <c r="AA60" s="28">
        <f t="shared" ref="AA60" si="75">SUM(AA61:AA63)</f>
        <v>89800</v>
      </c>
      <c r="AB60" s="28">
        <f t="shared" ref="AB60" si="76">SUM(AB61:AB63)</f>
        <v>93400</v>
      </c>
      <c r="AC60" s="28">
        <f t="shared" ref="AC60" si="77">SUM(AC61:AC63)</f>
        <v>93400</v>
      </c>
      <c r="AD60" s="28">
        <f t="shared" ref="AD60" si="78">SUM(AD61:AD63)</f>
        <v>93400</v>
      </c>
      <c r="AE60" s="28">
        <f t="shared" ref="AE60" si="79">SUM(AE61:AE63)</f>
        <v>93400</v>
      </c>
      <c r="AF60" s="28">
        <f t="shared" ref="AF60" si="80">SUM(AF61:AF63)</f>
        <v>93400</v>
      </c>
      <c r="AG60" s="28">
        <f t="shared" ref="AG60" si="81">SUM(AG61:AG63)</f>
        <v>93400</v>
      </c>
      <c r="AH60" s="28">
        <f t="shared" ref="AH60" si="82">SUM(AH61:AH63)</f>
        <v>93400</v>
      </c>
      <c r="AI60" s="28">
        <f t="shared" ref="AI60" si="83">SUM(AI61:AI63)</f>
        <v>93400</v>
      </c>
      <c r="AJ60" s="28">
        <f t="shared" ref="AJ60" si="84">SUM(AJ61:AJ63)</f>
        <v>93400</v>
      </c>
      <c r="AK60" s="28">
        <f t="shared" ref="AK60" si="85">SUM(AK61:AK63)</f>
        <v>93400</v>
      </c>
      <c r="AL60" s="7"/>
      <c r="AM60" s="7"/>
    </row>
    <row r="61" spans="1:39" s="4" customFormat="1" ht="10.199999999999999" x14ac:dyDescent="0.2">
      <c r="A61" s="3"/>
      <c r="B61" s="3"/>
      <c r="C61" s="3"/>
      <c r="D61" s="9"/>
      <c r="E61" s="3"/>
      <c r="F61" s="5" t="str">
        <f>структура!$H$9</f>
        <v>в т.ч.</v>
      </c>
      <c r="G61" s="3"/>
      <c r="H61" s="3"/>
      <c r="I61" s="3"/>
      <c r="J61" s="3"/>
      <c r="K61" s="3"/>
      <c r="L61" s="1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1"/>
      <c r="B62" s="1"/>
      <c r="C62" s="1"/>
      <c r="D62" s="7"/>
      <c r="E62" s="1"/>
      <c r="F62" s="6" t="str">
        <f>структура!$F$9</f>
        <v>народный гараж</v>
      </c>
      <c r="G62" s="1"/>
      <c r="H62" s="1" t="str">
        <f>H60</f>
        <v>тыс.руб.</v>
      </c>
      <c r="I62" s="1"/>
      <c r="J62" s="1"/>
      <c r="K62" s="1"/>
      <c r="L62" s="10"/>
      <c r="M62" s="18">
        <f>M22*M57/1000</f>
        <v>36800</v>
      </c>
      <c r="N62" s="18">
        <f t="shared" ref="N62:AK62" si="86">N22*N57/1000</f>
        <v>38800</v>
      </c>
      <c r="O62" s="18">
        <f t="shared" si="86"/>
        <v>40800</v>
      </c>
      <c r="P62" s="18">
        <f t="shared" si="86"/>
        <v>41200</v>
      </c>
      <c r="Q62" s="18">
        <f t="shared" si="86"/>
        <v>43600</v>
      </c>
      <c r="R62" s="18">
        <f t="shared" si="86"/>
        <v>44000</v>
      </c>
      <c r="S62" s="18">
        <f t="shared" si="86"/>
        <v>47200</v>
      </c>
      <c r="T62" s="18">
        <f t="shared" si="86"/>
        <v>49600</v>
      </c>
      <c r="U62" s="18">
        <f t="shared" si="86"/>
        <v>52400</v>
      </c>
      <c r="V62" s="18">
        <f t="shared" si="86"/>
        <v>56800</v>
      </c>
      <c r="W62" s="18">
        <f t="shared" si="86"/>
        <v>58400</v>
      </c>
      <c r="X62" s="18">
        <f t="shared" si="86"/>
        <v>58400</v>
      </c>
      <c r="Y62" s="18">
        <f t="shared" si="86"/>
        <v>59200</v>
      </c>
      <c r="Z62" s="18">
        <f t="shared" si="86"/>
        <v>59200</v>
      </c>
      <c r="AA62" s="18">
        <f t="shared" si="86"/>
        <v>60400</v>
      </c>
      <c r="AB62" s="18">
        <f t="shared" si="86"/>
        <v>62800</v>
      </c>
      <c r="AC62" s="18">
        <f t="shared" si="86"/>
        <v>62800</v>
      </c>
      <c r="AD62" s="18">
        <f t="shared" si="86"/>
        <v>62800</v>
      </c>
      <c r="AE62" s="18">
        <f t="shared" si="86"/>
        <v>62800</v>
      </c>
      <c r="AF62" s="18">
        <f t="shared" si="86"/>
        <v>62800</v>
      </c>
      <c r="AG62" s="18">
        <f t="shared" si="86"/>
        <v>62800</v>
      </c>
      <c r="AH62" s="18">
        <f t="shared" si="86"/>
        <v>62800</v>
      </c>
      <c r="AI62" s="18">
        <f t="shared" si="86"/>
        <v>62800</v>
      </c>
      <c r="AJ62" s="18">
        <f t="shared" si="86"/>
        <v>62800</v>
      </c>
      <c r="AK62" s="18">
        <f t="shared" si="86"/>
        <v>62800</v>
      </c>
      <c r="AL62" s="1"/>
      <c r="AM62" s="1"/>
    </row>
    <row r="63" spans="1:39" x14ac:dyDescent="0.25">
      <c r="A63" s="1"/>
      <c r="B63" s="1"/>
      <c r="C63" s="1"/>
      <c r="D63" s="7"/>
      <c r="E63" s="1"/>
      <c r="F63" s="6" t="str">
        <f>структура!$F$10</f>
        <v>хозяйственное ведение</v>
      </c>
      <c r="G63" s="1"/>
      <c r="H63" s="1" t="str">
        <f>H60</f>
        <v>тыс.руб.</v>
      </c>
      <c r="I63" s="1"/>
      <c r="J63" s="1"/>
      <c r="K63" s="1"/>
      <c r="L63" s="10"/>
      <c r="M63" s="18">
        <f>M23*M58/1000</f>
        <v>19200</v>
      </c>
      <c r="N63" s="18">
        <f t="shared" ref="N63:AK63" si="87">N23*N58/1000</f>
        <v>20400</v>
      </c>
      <c r="O63" s="18">
        <f t="shared" si="87"/>
        <v>21300</v>
      </c>
      <c r="P63" s="18">
        <f t="shared" si="87"/>
        <v>21300</v>
      </c>
      <c r="Q63" s="18">
        <f t="shared" si="87"/>
        <v>21900</v>
      </c>
      <c r="R63" s="18">
        <f t="shared" si="87"/>
        <v>24600</v>
      </c>
      <c r="S63" s="18">
        <f t="shared" si="87"/>
        <v>24900</v>
      </c>
      <c r="T63" s="18">
        <f t="shared" si="87"/>
        <v>25500</v>
      </c>
      <c r="U63" s="18">
        <f t="shared" si="87"/>
        <v>26700</v>
      </c>
      <c r="V63" s="18">
        <f t="shared" si="87"/>
        <v>27900</v>
      </c>
      <c r="W63" s="18">
        <f t="shared" si="87"/>
        <v>28200</v>
      </c>
      <c r="X63" s="18">
        <f t="shared" si="87"/>
        <v>28200</v>
      </c>
      <c r="Y63" s="18">
        <f t="shared" si="87"/>
        <v>29100</v>
      </c>
      <c r="Z63" s="18">
        <f t="shared" si="87"/>
        <v>29100</v>
      </c>
      <c r="AA63" s="18">
        <f t="shared" si="87"/>
        <v>29400</v>
      </c>
      <c r="AB63" s="18">
        <f t="shared" si="87"/>
        <v>30600</v>
      </c>
      <c r="AC63" s="18">
        <f t="shared" si="87"/>
        <v>30600</v>
      </c>
      <c r="AD63" s="18">
        <f t="shared" si="87"/>
        <v>30600</v>
      </c>
      <c r="AE63" s="18">
        <f t="shared" si="87"/>
        <v>30600</v>
      </c>
      <c r="AF63" s="18">
        <f t="shared" si="87"/>
        <v>30600</v>
      </c>
      <c r="AG63" s="18">
        <f t="shared" si="87"/>
        <v>30600</v>
      </c>
      <c r="AH63" s="18">
        <f t="shared" si="87"/>
        <v>30600</v>
      </c>
      <c r="AI63" s="18">
        <f t="shared" si="87"/>
        <v>30600</v>
      </c>
      <c r="AJ63" s="18">
        <f t="shared" si="87"/>
        <v>30600</v>
      </c>
      <c r="AK63" s="18">
        <f t="shared" si="87"/>
        <v>30600</v>
      </c>
      <c r="AL63" s="1"/>
      <c r="AM63" s="1"/>
    </row>
    <row r="64" spans="1:39" x14ac:dyDescent="0.25">
      <c r="A64" s="1"/>
      <c r="B64" s="1"/>
      <c r="C64" s="1"/>
      <c r="D64" s="7"/>
      <c r="E64" s="1"/>
      <c r="F64" s="1"/>
      <c r="G64" s="1"/>
      <c r="H64" s="1"/>
      <c r="I64" s="1"/>
      <c r="J64" s="1"/>
      <c r="K64" s="1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8" customFormat="1" x14ac:dyDescent="0.25">
      <c r="A65" s="7"/>
      <c r="B65" s="7"/>
      <c r="C65" s="7"/>
      <c r="D65" s="7" t="str">
        <f>структура!$D$15</f>
        <v>Списания ДС</v>
      </c>
      <c r="E65" s="7"/>
      <c r="F65" s="7" t="str">
        <f>KPI!$F$21</f>
        <v>распределение с/стоимостных арендных платежей</v>
      </c>
      <c r="G65" s="7"/>
      <c r="H65" s="7" t="str">
        <f>INDEX(KPI!$H:$H,SUMIFS(KPI!$D:$D,KPI!$F:$F,$F65))</f>
        <v>%</v>
      </c>
      <c r="I65" s="7"/>
      <c r="J65" s="7"/>
      <c r="K65" s="7"/>
      <c r="L65" s="10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7"/>
      <c r="AM65" s="7"/>
    </row>
    <row r="66" spans="1:39" s="4" customFormat="1" ht="10.199999999999999" x14ac:dyDescent="0.2">
      <c r="A66" s="3"/>
      <c r="B66" s="3"/>
      <c r="C66" s="3"/>
      <c r="D66" s="9"/>
      <c r="E66" s="3"/>
      <c r="F66" s="5" t="str">
        <f>структура!$H$9</f>
        <v>в т.ч.</v>
      </c>
      <c r="G66" s="3"/>
      <c r="H66" s="3"/>
      <c r="I66" s="3"/>
      <c r="J66" s="3"/>
      <c r="K66" s="3"/>
      <c r="L66" s="1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1"/>
      <c r="B67" s="1"/>
      <c r="C67" s="1"/>
      <c r="D67" s="7"/>
      <c r="E67" s="1"/>
      <c r="F67" s="6" t="str">
        <f>структура!$F$9</f>
        <v>народный гараж</v>
      </c>
      <c r="G67" s="1"/>
      <c r="H67" s="1" t="str">
        <f>H65</f>
        <v>%</v>
      </c>
      <c r="I67" s="1"/>
      <c r="J67" s="1"/>
      <c r="K67" s="1"/>
      <c r="L67" s="10" t="s">
        <v>10</v>
      </c>
      <c r="M67" s="24">
        <v>0.9</v>
      </c>
      <c r="N67" s="24">
        <v>0.1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5">
        <v>0</v>
      </c>
      <c r="AK67" s="26">
        <f>100%-SUM(M67:AJ67)</f>
        <v>0</v>
      </c>
      <c r="AL67" s="1"/>
      <c r="AM67" s="1"/>
    </row>
    <row r="68" spans="1:39" x14ac:dyDescent="0.25">
      <c r="A68" s="1"/>
      <c r="B68" s="1"/>
      <c r="C68" s="1"/>
      <c r="D68" s="7"/>
      <c r="E68" s="1"/>
      <c r="F68" s="6" t="str">
        <f>структура!$F$10</f>
        <v>хозяйственное ведение</v>
      </c>
      <c r="G68" s="1"/>
      <c r="H68" s="1" t="str">
        <f>H65</f>
        <v>%</v>
      </c>
      <c r="I68" s="1"/>
      <c r="J68" s="1"/>
      <c r="K68" s="1"/>
      <c r="L68" s="10" t="s">
        <v>10</v>
      </c>
      <c r="M68" s="24">
        <v>0.9</v>
      </c>
      <c r="N68" s="24">
        <v>0.1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5">
        <v>0</v>
      </c>
      <c r="AK68" s="26">
        <f>100%-SUM(M68:AJ68)</f>
        <v>0</v>
      </c>
      <c r="AL68" s="1"/>
      <c r="AM68" s="1"/>
    </row>
    <row r="69" spans="1:39" x14ac:dyDescent="0.25">
      <c r="A69" s="1"/>
      <c r="B69" s="1"/>
      <c r="C69" s="1"/>
      <c r="D69" s="7"/>
      <c r="E69" s="1"/>
      <c r="F69" s="1"/>
      <c r="G69" s="1"/>
      <c r="H69" s="1"/>
      <c r="I69" s="1"/>
      <c r="J69" s="1"/>
      <c r="K69" s="1"/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8" customFormat="1" x14ac:dyDescent="0.25">
      <c r="A70" s="7"/>
      <c r="B70" s="7"/>
      <c r="C70" s="7"/>
      <c r="D70" s="7"/>
      <c r="E70" s="7"/>
      <c r="F70" s="7" t="str">
        <f>KPI!$F$22</f>
        <v>обратное распр-ние с/стоим-ых арендных платежей</v>
      </c>
      <c r="G70" s="7"/>
      <c r="H70" s="7" t="str">
        <f>INDEX(KPI!$H:$H,SUMIFS(KPI!$D:$D,KPI!$F:$F,$F70))</f>
        <v>%</v>
      </c>
      <c r="I70" s="7"/>
      <c r="J70" s="7"/>
      <c r="K70" s="7"/>
      <c r="L70" s="1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7"/>
      <c r="AM70" s="7"/>
    </row>
    <row r="71" spans="1:39" s="4" customFormat="1" ht="10.199999999999999" x14ac:dyDescent="0.2">
      <c r="A71" s="3"/>
      <c r="B71" s="3"/>
      <c r="C71" s="3"/>
      <c r="D71" s="9"/>
      <c r="E71" s="3"/>
      <c r="F71" s="5" t="str">
        <f>структура!$H$9</f>
        <v>в т.ч.</v>
      </c>
      <c r="G71" s="3"/>
      <c r="H71" s="3"/>
      <c r="I71" s="3"/>
      <c r="J71" s="3"/>
      <c r="K71" s="3"/>
      <c r="L71" s="1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1"/>
      <c r="B72" s="1"/>
      <c r="C72" s="1"/>
      <c r="D72" s="7"/>
      <c r="E72" s="1"/>
      <c r="F72" s="6" t="str">
        <f>структура!$F$9</f>
        <v>народный гараж</v>
      </c>
      <c r="G72" s="1"/>
      <c r="H72" s="1" t="str">
        <f>H70</f>
        <v>%</v>
      </c>
      <c r="I72" s="1"/>
      <c r="J72" s="1"/>
      <c r="K72" s="1"/>
      <c r="L72" s="10"/>
      <c r="M72" s="23">
        <f t="shared" ref="M72:AK72" si="88">SUMIFS(67:67,$1:$1,M$2)</f>
        <v>0</v>
      </c>
      <c r="N72" s="23">
        <f t="shared" si="88"/>
        <v>0</v>
      </c>
      <c r="O72" s="23">
        <f t="shared" si="88"/>
        <v>0</v>
      </c>
      <c r="P72" s="23">
        <f t="shared" si="88"/>
        <v>0</v>
      </c>
      <c r="Q72" s="23">
        <f t="shared" si="88"/>
        <v>0</v>
      </c>
      <c r="R72" s="23">
        <f t="shared" si="88"/>
        <v>0</v>
      </c>
      <c r="S72" s="23">
        <f t="shared" si="88"/>
        <v>0</v>
      </c>
      <c r="T72" s="23">
        <f t="shared" si="88"/>
        <v>0</v>
      </c>
      <c r="U72" s="23">
        <f t="shared" si="88"/>
        <v>0</v>
      </c>
      <c r="V72" s="23">
        <f t="shared" si="88"/>
        <v>0</v>
      </c>
      <c r="W72" s="23">
        <f t="shared" si="88"/>
        <v>0</v>
      </c>
      <c r="X72" s="23">
        <f t="shared" si="88"/>
        <v>0</v>
      </c>
      <c r="Y72" s="23">
        <f t="shared" si="88"/>
        <v>0</v>
      </c>
      <c r="Z72" s="23">
        <f t="shared" si="88"/>
        <v>0</v>
      </c>
      <c r="AA72" s="23">
        <f t="shared" si="88"/>
        <v>0</v>
      </c>
      <c r="AB72" s="23">
        <f t="shared" si="88"/>
        <v>0</v>
      </c>
      <c r="AC72" s="23">
        <f t="shared" si="88"/>
        <v>0</v>
      </c>
      <c r="AD72" s="23">
        <f t="shared" si="88"/>
        <v>0</v>
      </c>
      <c r="AE72" s="23">
        <f t="shared" si="88"/>
        <v>0</v>
      </c>
      <c r="AF72" s="23">
        <f t="shared" si="88"/>
        <v>0</v>
      </c>
      <c r="AG72" s="23">
        <f t="shared" si="88"/>
        <v>0</v>
      </c>
      <c r="AH72" s="23">
        <f t="shared" si="88"/>
        <v>0</v>
      </c>
      <c r="AI72" s="23">
        <f t="shared" si="88"/>
        <v>0</v>
      </c>
      <c r="AJ72" s="23">
        <f t="shared" si="88"/>
        <v>0.1</v>
      </c>
      <c r="AK72" s="23">
        <f t="shared" si="88"/>
        <v>0.9</v>
      </c>
      <c r="AL72" s="1"/>
      <c r="AM72" s="1"/>
    </row>
    <row r="73" spans="1:39" x14ac:dyDescent="0.25">
      <c r="A73" s="1"/>
      <c r="B73" s="1"/>
      <c r="C73" s="1"/>
      <c r="D73" s="7"/>
      <c r="E73" s="1"/>
      <c r="F73" s="6" t="str">
        <f>структура!$F$10</f>
        <v>хозяйственное ведение</v>
      </c>
      <c r="G73" s="1"/>
      <c r="H73" s="1" t="str">
        <f>H70</f>
        <v>%</v>
      </c>
      <c r="I73" s="1"/>
      <c r="J73" s="1"/>
      <c r="K73" s="1"/>
      <c r="L73" s="10"/>
      <c r="M73" s="23">
        <f t="shared" ref="M73:AK73" si="89">SUMIFS(68:68,$1:$1,M$2)</f>
        <v>0</v>
      </c>
      <c r="N73" s="23">
        <f t="shared" si="89"/>
        <v>0</v>
      </c>
      <c r="O73" s="23">
        <f t="shared" si="89"/>
        <v>0</v>
      </c>
      <c r="P73" s="23">
        <f t="shared" si="89"/>
        <v>0</v>
      </c>
      <c r="Q73" s="23">
        <f t="shared" si="89"/>
        <v>0</v>
      </c>
      <c r="R73" s="23">
        <f t="shared" si="89"/>
        <v>0</v>
      </c>
      <c r="S73" s="23">
        <f t="shared" si="89"/>
        <v>0</v>
      </c>
      <c r="T73" s="23">
        <f t="shared" si="89"/>
        <v>0</v>
      </c>
      <c r="U73" s="23">
        <f t="shared" si="89"/>
        <v>0</v>
      </c>
      <c r="V73" s="23">
        <f t="shared" si="89"/>
        <v>0</v>
      </c>
      <c r="W73" s="23">
        <f t="shared" si="89"/>
        <v>0</v>
      </c>
      <c r="X73" s="23">
        <f t="shared" si="89"/>
        <v>0</v>
      </c>
      <c r="Y73" s="23">
        <f t="shared" si="89"/>
        <v>0</v>
      </c>
      <c r="Z73" s="23">
        <f t="shared" si="89"/>
        <v>0</v>
      </c>
      <c r="AA73" s="23">
        <f t="shared" si="89"/>
        <v>0</v>
      </c>
      <c r="AB73" s="23">
        <f t="shared" si="89"/>
        <v>0</v>
      </c>
      <c r="AC73" s="23">
        <f t="shared" si="89"/>
        <v>0</v>
      </c>
      <c r="AD73" s="23">
        <f t="shared" si="89"/>
        <v>0</v>
      </c>
      <c r="AE73" s="23">
        <f t="shared" si="89"/>
        <v>0</v>
      </c>
      <c r="AF73" s="23">
        <f t="shared" si="89"/>
        <v>0</v>
      </c>
      <c r="AG73" s="23">
        <f t="shared" si="89"/>
        <v>0</v>
      </c>
      <c r="AH73" s="23">
        <f t="shared" si="89"/>
        <v>0</v>
      </c>
      <c r="AI73" s="23">
        <f t="shared" si="89"/>
        <v>0</v>
      </c>
      <c r="AJ73" s="23">
        <f t="shared" si="89"/>
        <v>0.1</v>
      </c>
      <c r="AK73" s="23">
        <f t="shared" si="89"/>
        <v>0.9</v>
      </c>
      <c r="AL73" s="1"/>
      <c r="AM73" s="1"/>
    </row>
    <row r="74" spans="1:39" x14ac:dyDescent="0.25">
      <c r="A74" s="1"/>
      <c r="B74" s="1"/>
      <c r="C74" s="1"/>
      <c r="D74" s="7"/>
      <c r="E74" s="1"/>
      <c r="F74" s="1"/>
      <c r="G74" s="1"/>
      <c r="H74" s="1"/>
      <c r="I74" s="1"/>
      <c r="J74" s="1"/>
      <c r="K74" s="1"/>
      <c r="L74" s="1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8" customFormat="1" x14ac:dyDescent="0.25">
      <c r="A75" s="7"/>
      <c r="B75" s="7"/>
      <c r="C75" s="7"/>
      <c r="D75" s="27" t="str">
        <f>структура!$D$16</f>
        <v>CFOut</v>
      </c>
      <c r="E75" s="7"/>
      <c r="F75" s="27" t="str">
        <f>KPI!$F$23</f>
        <v>списания ДС владельцам парковок за аренду м/мест</v>
      </c>
      <c r="G75" s="7"/>
      <c r="H75" s="27" t="str">
        <f>INDEX(KPI!$H:$H,SUMIFS(KPI!$D:$D,KPI!$F:$F,$F75))</f>
        <v>тыс.руб.</v>
      </c>
      <c r="I75" s="7"/>
      <c r="J75" s="7"/>
      <c r="K75" s="7"/>
      <c r="L75" s="10"/>
      <c r="M75" s="28">
        <f>SUM(M76:M78)</f>
        <v>50400</v>
      </c>
      <c r="N75" s="28">
        <f t="shared" ref="N75" si="90">SUM(N76:N78)</f>
        <v>58880</v>
      </c>
      <c r="O75" s="28">
        <f t="shared" ref="O75" si="91">SUM(O76:O78)</f>
        <v>61810</v>
      </c>
      <c r="P75" s="28">
        <f t="shared" ref="P75" si="92">SUM(P76:P78)</f>
        <v>62460</v>
      </c>
      <c r="Q75" s="28">
        <f t="shared" ref="Q75" si="93">SUM(Q76:Q78)</f>
        <v>65200</v>
      </c>
      <c r="R75" s="28">
        <f t="shared" ref="R75" si="94">SUM(R76:R78)</f>
        <v>68290</v>
      </c>
      <c r="S75" s="28">
        <f t="shared" ref="S75" si="95">SUM(S76:S78)</f>
        <v>71750</v>
      </c>
      <c r="T75" s="28">
        <f t="shared" ref="T75" si="96">SUM(T76:T78)</f>
        <v>74800</v>
      </c>
      <c r="U75" s="28">
        <f t="shared" ref="U75" si="97">SUM(U76:U78)</f>
        <v>78700</v>
      </c>
      <c r="V75" s="28">
        <f t="shared" ref="V75" si="98">SUM(V76:V78)</f>
        <v>84140</v>
      </c>
      <c r="W75" s="28">
        <f t="shared" ref="W75" si="99">SUM(W76:W78)</f>
        <v>86410</v>
      </c>
      <c r="X75" s="28">
        <f t="shared" ref="X75" si="100">SUM(X76:X78)</f>
        <v>86600</v>
      </c>
      <c r="Y75" s="28">
        <f t="shared" ref="Y75" si="101">SUM(Y76:Y78)</f>
        <v>88130</v>
      </c>
      <c r="Z75" s="28">
        <f t="shared" ref="Z75" si="102">SUM(Z76:Z78)</f>
        <v>88300</v>
      </c>
      <c r="AA75" s="28">
        <f t="shared" ref="AA75" si="103">SUM(AA76:AA78)</f>
        <v>89650</v>
      </c>
      <c r="AB75" s="28">
        <f t="shared" ref="AB75" si="104">SUM(AB76:AB78)</f>
        <v>93040</v>
      </c>
      <c r="AC75" s="28">
        <f t="shared" ref="AC75" si="105">SUM(AC76:AC78)</f>
        <v>93400</v>
      </c>
      <c r="AD75" s="28">
        <f t="shared" ref="AD75" si="106">SUM(AD76:AD78)</f>
        <v>93400</v>
      </c>
      <c r="AE75" s="28">
        <f t="shared" ref="AE75" si="107">SUM(AE76:AE78)</f>
        <v>93400</v>
      </c>
      <c r="AF75" s="28">
        <f t="shared" ref="AF75" si="108">SUM(AF76:AF78)</f>
        <v>93400</v>
      </c>
      <c r="AG75" s="28">
        <f t="shared" ref="AG75" si="109">SUM(AG76:AG78)</f>
        <v>93400</v>
      </c>
      <c r="AH75" s="28">
        <f t="shared" ref="AH75" si="110">SUM(AH76:AH78)</f>
        <v>93400</v>
      </c>
      <c r="AI75" s="28">
        <f t="shared" ref="AI75" si="111">SUM(AI76:AI78)</f>
        <v>93400</v>
      </c>
      <c r="AJ75" s="28">
        <f t="shared" ref="AJ75" si="112">SUM(AJ76:AJ78)</f>
        <v>93400</v>
      </c>
      <c r="AK75" s="28">
        <f t="shared" ref="AK75" si="113">SUM(AK76:AK78)</f>
        <v>93400</v>
      </c>
      <c r="AL75" s="7"/>
      <c r="AM75" s="7"/>
    </row>
    <row r="76" spans="1:39" s="4" customFormat="1" ht="10.199999999999999" x14ac:dyDescent="0.2">
      <c r="A76" s="3"/>
      <c r="B76" s="3"/>
      <c r="C76" s="3"/>
      <c r="D76" s="9"/>
      <c r="E76" s="3"/>
      <c r="F76" s="5" t="str">
        <f>структура!$H$9</f>
        <v>в т.ч.</v>
      </c>
      <c r="G76" s="3"/>
      <c r="H76" s="3"/>
      <c r="I76" s="3"/>
      <c r="J76" s="3"/>
      <c r="K76" s="3"/>
      <c r="L76" s="1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1"/>
      <c r="B77" s="1"/>
      <c r="C77" s="1"/>
      <c r="D77" s="7"/>
      <c r="E77" s="1"/>
      <c r="F77" s="6" t="str">
        <f>структура!$F$9</f>
        <v>народный гараж</v>
      </c>
      <c r="G77" s="1"/>
      <c r="H77" s="1" t="str">
        <f>H75</f>
        <v>тыс.руб.</v>
      </c>
      <c r="I77" s="1"/>
      <c r="J77" s="1"/>
      <c r="K77" s="1"/>
      <c r="L77" s="10"/>
      <c r="M77" s="18">
        <f>SUMPRODUCT(M62:M62,AK72)</f>
        <v>33120</v>
      </c>
      <c r="N77" s="18">
        <f>SUMPRODUCT(M62:N62,AJ72:AK72)</f>
        <v>38600</v>
      </c>
      <c r="O77" s="18">
        <f>SUMPRODUCT(M62:O62,AI72:AK72)</f>
        <v>40600</v>
      </c>
      <c r="P77" s="18">
        <f>SUMPRODUCT(M62:P62,AH72:AK72)</f>
        <v>41160</v>
      </c>
      <c r="Q77" s="18">
        <f>SUMPRODUCT(M62:Q62,AG72:AK72)</f>
        <v>43360</v>
      </c>
      <c r="R77" s="18">
        <f>SUMPRODUCT(M62:R62,AF72:AK72)</f>
        <v>43960</v>
      </c>
      <c r="S77" s="18">
        <f>SUMPRODUCT(M62:S62,AE72:AK72)</f>
        <v>46880</v>
      </c>
      <c r="T77" s="18">
        <f>SUMPRODUCT(M62:T62,AD72:AK72)</f>
        <v>49360</v>
      </c>
      <c r="U77" s="18">
        <f>SUMPRODUCT(M62:U62,AC72:AK72)</f>
        <v>52120</v>
      </c>
      <c r="V77" s="18">
        <f>SUMPRODUCT(M62:V62,AB72:AK72)</f>
        <v>56360</v>
      </c>
      <c r="W77" s="18">
        <f>SUMPRODUCT(M62:W62,AA72:AK72)</f>
        <v>58240</v>
      </c>
      <c r="X77" s="18">
        <f>SUMPRODUCT(M62:X62,Z72:AK72)</f>
        <v>58400</v>
      </c>
      <c r="Y77" s="18">
        <f>SUMPRODUCT(M62:Y62,Y72:AK72)</f>
        <v>59120</v>
      </c>
      <c r="Z77" s="18">
        <f>SUMPRODUCT(M62:Z62,X72:AK72)</f>
        <v>59200</v>
      </c>
      <c r="AA77" s="18">
        <f>SUMPRODUCT(M62:AA62,W72:AK72)</f>
        <v>60280</v>
      </c>
      <c r="AB77" s="18">
        <f>SUMPRODUCT(M62:AB62,V72:AK72)</f>
        <v>62560</v>
      </c>
      <c r="AC77" s="18">
        <f>SUMPRODUCT(M62:AC62,U72:AK72)</f>
        <v>62800</v>
      </c>
      <c r="AD77" s="18">
        <f>SUMPRODUCT(M62:AD62,T72:AK72)</f>
        <v>62800</v>
      </c>
      <c r="AE77" s="18">
        <f>SUMPRODUCT(M62:AE62,S72:AK72)</f>
        <v>62800</v>
      </c>
      <c r="AF77" s="18">
        <f>SUMPRODUCT(M62:AF62,R72:AK72)</f>
        <v>62800</v>
      </c>
      <c r="AG77" s="18">
        <f>SUMPRODUCT(M62:AG62,Q72:AK72)</f>
        <v>62800</v>
      </c>
      <c r="AH77" s="18">
        <f>SUMPRODUCT(M62:AH62,P72:AK72)</f>
        <v>62800</v>
      </c>
      <c r="AI77" s="18">
        <f>SUMPRODUCT(M62:AI62,O72:AK72)</f>
        <v>62800</v>
      </c>
      <c r="AJ77" s="18">
        <f>SUMPRODUCT(M62:AJ62,N72:AK72)</f>
        <v>62800</v>
      </c>
      <c r="AK77" s="18">
        <f>SUMPRODUCT(M62:AK62,M72:AK72)</f>
        <v>62800</v>
      </c>
      <c r="AL77" s="1"/>
      <c r="AM77" s="1"/>
    </row>
    <row r="78" spans="1:39" x14ac:dyDescent="0.25">
      <c r="A78" s="1"/>
      <c r="B78" s="1"/>
      <c r="C78" s="1"/>
      <c r="D78" s="7"/>
      <c r="E78" s="1"/>
      <c r="F78" s="6" t="str">
        <f>структура!$F$10</f>
        <v>хозяйственное ведение</v>
      </c>
      <c r="G78" s="1"/>
      <c r="H78" s="1" t="str">
        <f>H75</f>
        <v>тыс.руб.</v>
      </c>
      <c r="I78" s="1"/>
      <c r="J78" s="1"/>
      <c r="K78" s="1"/>
      <c r="L78" s="10"/>
      <c r="M78" s="18">
        <f>SUMPRODUCT(M63:M63,AK73)</f>
        <v>17280</v>
      </c>
      <c r="N78" s="18">
        <f>SUMPRODUCT(M63:N63,AJ73:AK73)</f>
        <v>20280</v>
      </c>
      <c r="O78" s="18">
        <f>SUMPRODUCT(M63:O63,AI73:AK73)</f>
        <v>21210</v>
      </c>
      <c r="P78" s="18">
        <f>SUMPRODUCT(M63:P63,AH73:AK73)</f>
        <v>21300</v>
      </c>
      <c r="Q78" s="18">
        <f>SUMPRODUCT(M63:Q63,AG73:AK73)</f>
        <v>21840</v>
      </c>
      <c r="R78" s="18">
        <f>SUMPRODUCT(M63:R63,AF73:AK73)</f>
        <v>24330</v>
      </c>
      <c r="S78" s="18">
        <f>SUMPRODUCT(M63:S63,AE73:AK73)</f>
        <v>24870</v>
      </c>
      <c r="T78" s="18">
        <f>SUMPRODUCT(M63:T63,AD73:AK73)</f>
        <v>25440</v>
      </c>
      <c r="U78" s="18">
        <f>SUMPRODUCT(M63:U63,AC73:AK73)</f>
        <v>26580</v>
      </c>
      <c r="V78" s="18">
        <f>SUMPRODUCT(M63:V63,AB73:AK73)</f>
        <v>27780</v>
      </c>
      <c r="W78" s="18">
        <f>SUMPRODUCT(M63:W63,AA73:AK73)</f>
        <v>28170</v>
      </c>
      <c r="X78" s="18">
        <f>SUMPRODUCT(M63:X63,Z73:AK73)</f>
        <v>28200</v>
      </c>
      <c r="Y78" s="18">
        <f>SUMPRODUCT(M63:Y63,Y73:AK73)</f>
        <v>29010</v>
      </c>
      <c r="Z78" s="18">
        <f>SUMPRODUCT(M63:Z63,X73:AK73)</f>
        <v>29100</v>
      </c>
      <c r="AA78" s="18">
        <f>SUMPRODUCT(M63:AA63,W73:AK73)</f>
        <v>29370</v>
      </c>
      <c r="AB78" s="18">
        <f>SUMPRODUCT(M63:AB63,V73:AK73)</f>
        <v>30480</v>
      </c>
      <c r="AC78" s="18">
        <f>SUMPRODUCT(M63:AC63,U73:AK73)</f>
        <v>30600</v>
      </c>
      <c r="AD78" s="18">
        <f>SUMPRODUCT(M63:AD63,T73:AK73)</f>
        <v>30600</v>
      </c>
      <c r="AE78" s="18">
        <f>SUMPRODUCT(M63:AE63,S73:AK73)</f>
        <v>30600</v>
      </c>
      <c r="AF78" s="18">
        <f>SUMPRODUCT(M63:AF63,R73:AK73)</f>
        <v>30600</v>
      </c>
      <c r="AG78" s="18">
        <f>SUMPRODUCT(M63:AG63,Q73:AK73)</f>
        <v>30600</v>
      </c>
      <c r="AH78" s="18">
        <f>SUMPRODUCT(M63:AH63,P73:AK73)</f>
        <v>30600</v>
      </c>
      <c r="AI78" s="18">
        <f>SUMPRODUCT(M63:AI63,O73:AK73)</f>
        <v>30600</v>
      </c>
      <c r="AJ78" s="18">
        <f>SUMPRODUCT(M63:AJ63,N73:AK73)</f>
        <v>30600</v>
      </c>
      <c r="AK78" s="18">
        <f>SUMPRODUCT(M63:AK63,M73:AK73)</f>
        <v>30600</v>
      </c>
      <c r="AL78" s="1"/>
      <c r="AM78" s="1"/>
    </row>
    <row r="79" spans="1:39" x14ac:dyDescent="0.25">
      <c r="A79" s="1"/>
      <c r="B79" s="1"/>
      <c r="C79" s="1"/>
      <c r="D79" s="7"/>
      <c r="E79" s="1"/>
      <c r="F79" s="1"/>
      <c r="G79" s="1"/>
      <c r="H79" s="1"/>
      <c r="I79" s="1"/>
      <c r="J79" s="1"/>
      <c r="K79" s="1"/>
      <c r="L79" s="1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7" t="str">
        <f>структура!$D$17</f>
        <v>Переменные расходы</v>
      </c>
      <c r="E80" s="1"/>
      <c r="F80" s="1"/>
      <c r="G80" s="1"/>
      <c r="H80" s="1"/>
      <c r="I80" s="1"/>
      <c r="J80" s="1"/>
      <c r="K80" s="1"/>
      <c r="L80" s="1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s="8" customFormat="1" x14ac:dyDescent="0.25">
      <c r="A81" s="7"/>
      <c r="B81" s="7"/>
      <c r="C81" s="7"/>
      <c r="D81" s="7"/>
      <c r="E81" s="7"/>
      <c r="F81" s="7" t="str">
        <f>KPI!$F$24</f>
        <v>базовый расход эл/энергии на 1 м/место за сутки</v>
      </c>
      <c r="G81" s="7"/>
      <c r="H81" s="7" t="str">
        <f>INDEX(KPI!$H:$H,SUMIFS(KPI!$D:$D,KPI!$F:$F,$F81))</f>
        <v>кВт</v>
      </c>
      <c r="I81" s="7"/>
      <c r="J81" s="7"/>
      <c r="K81" s="7"/>
      <c r="L81" s="10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7"/>
      <c r="AM81" s="7"/>
    </row>
    <row r="82" spans="1:39" s="4" customFormat="1" ht="10.199999999999999" x14ac:dyDescent="0.2">
      <c r="A82" s="3"/>
      <c r="B82" s="3"/>
      <c r="C82" s="3"/>
      <c r="D82" s="9"/>
      <c r="E82" s="3"/>
      <c r="F82" s="5" t="str">
        <f>структура!$H$9</f>
        <v>в т.ч.</v>
      </c>
      <c r="G82" s="3"/>
      <c r="H82" s="3"/>
      <c r="I82" s="3"/>
      <c r="J82" s="3"/>
      <c r="K82" s="3"/>
      <c r="L82" s="1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1"/>
      <c r="B83" s="1"/>
      <c r="C83" s="1"/>
      <c r="D83" s="7"/>
      <c r="E83" s="1"/>
      <c r="F83" s="6" t="str">
        <f>структура!$F$9</f>
        <v>народный гараж</v>
      </c>
      <c r="G83" s="1"/>
      <c r="H83" s="1" t="str">
        <f>H81</f>
        <v>кВт</v>
      </c>
      <c r="I83" s="1"/>
      <c r="J83" s="1"/>
      <c r="K83" s="1"/>
      <c r="L83" s="10" t="s">
        <v>10</v>
      </c>
      <c r="M83" s="29">
        <v>0.48</v>
      </c>
      <c r="N83" s="29">
        <v>0.48</v>
      </c>
      <c r="O83" s="29">
        <v>0.48</v>
      </c>
      <c r="P83" s="29">
        <v>0.48</v>
      </c>
      <c r="Q83" s="29">
        <v>0.48</v>
      </c>
      <c r="R83" s="29">
        <v>0.48</v>
      </c>
      <c r="S83" s="29">
        <v>0.48</v>
      </c>
      <c r="T83" s="29">
        <v>0.48</v>
      </c>
      <c r="U83" s="29">
        <v>0.48</v>
      </c>
      <c r="V83" s="29">
        <v>0.48</v>
      </c>
      <c r="W83" s="29">
        <v>0.48</v>
      </c>
      <c r="X83" s="29">
        <v>0.48</v>
      </c>
      <c r="Y83" s="29">
        <v>0.48</v>
      </c>
      <c r="Z83" s="29">
        <v>0.48</v>
      </c>
      <c r="AA83" s="29">
        <v>0.48</v>
      </c>
      <c r="AB83" s="29">
        <v>0.48</v>
      </c>
      <c r="AC83" s="29">
        <v>0.48</v>
      </c>
      <c r="AD83" s="29">
        <v>0.48</v>
      </c>
      <c r="AE83" s="29">
        <v>0.48</v>
      </c>
      <c r="AF83" s="29">
        <v>0.48</v>
      </c>
      <c r="AG83" s="29">
        <v>0.48</v>
      </c>
      <c r="AH83" s="29">
        <v>0.48</v>
      </c>
      <c r="AI83" s="29">
        <v>0.48</v>
      </c>
      <c r="AJ83" s="29">
        <v>0.48</v>
      </c>
      <c r="AK83" s="29">
        <v>0.48</v>
      </c>
      <c r="AL83" s="1"/>
      <c r="AM83" s="1"/>
    </row>
    <row r="84" spans="1:39" x14ac:dyDescent="0.25">
      <c r="A84" s="1"/>
      <c r="B84" s="1"/>
      <c r="C84" s="1"/>
      <c r="D84" s="7"/>
      <c r="E84" s="1"/>
      <c r="F84" s="6" t="str">
        <f>структура!$F$10</f>
        <v>хозяйственное ведение</v>
      </c>
      <c r="G84" s="1"/>
      <c r="H84" s="1" t="str">
        <f>H81</f>
        <v>кВт</v>
      </c>
      <c r="I84" s="1"/>
      <c r="J84" s="1"/>
      <c r="K84" s="1"/>
      <c r="L84" s="10" t="s">
        <v>10</v>
      </c>
      <c r="M84" s="29">
        <v>1.08</v>
      </c>
      <c r="N84" s="29">
        <v>1.08</v>
      </c>
      <c r="O84" s="29">
        <v>1.08</v>
      </c>
      <c r="P84" s="29">
        <v>1.08</v>
      </c>
      <c r="Q84" s="29">
        <v>1.08</v>
      </c>
      <c r="R84" s="29">
        <v>1.08</v>
      </c>
      <c r="S84" s="29">
        <v>1.08</v>
      </c>
      <c r="T84" s="29">
        <v>1.08</v>
      </c>
      <c r="U84" s="29">
        <v>1.08</v>
      </c>
      <c r="V84" s="29">
        <v>1.08</v>
      </c>
      <c r="W84" s="29">
        <v>1.08</v>
      </c>
      <c r="X84" s="29">
        <v>1.08</v>
      </c>
      <c r="Y84" s="29">
        <v>1.08</v>
      </c>
      <c r="Z84" s="29">
        <v>1.08</v>
      </c>
      <c r="AA84" s="29">
        <v>1.08</v>
      </c>
      <c r="AB84" s="29">
        <v>1.08</v>
      </c>
      <c r="AC84" s="29">
        <v>1.08</v>
      </c>
      <c r="AD84" s="29">
        <v>1.08</v>
      </c>
      <c r="AE84" s="29">
        <v>1.08</v>
      </c>
      <c r="AF84" s="29">
        <v>1.08</v>
      </c>
      <c r="AG84" s="29">
        <v>1.08</v>
      </c>
      <c r="AH84" s="29">
        <v>1.08</v>
      </c>
      <c r="AI84" s="29">
        <v>1.08</v>
      </c>
      <c r="AJ84" s="29">
        <v>1.08</v>
      </c>
      <c r="AK84" s="29">
        <v>1.08</v>
      </c>
      <c r="AL84" s="1"/>
      <c r="AM84" s="1"/>
    </row>
    <row r="85" spans="1:39" x14ac:dyDescent="0.25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s="8" customFormat="1" x14ac:dyDescent="0.25">
      <c r="A86" s="7"/>
      <c r="B86" s="7"/>
      <c r="C86" s="7"/>
      <c r="D86" s="7"/>
      <c r="E86" s="7"/>
      <c r="F86" s="7" t="str">
        <f>KPI!$F$25</f>
        <v>стоимость одного кВт</v>
      </c>
      <c r="G86" s="7"/>
      <c r="H86" s="7" t="str">
        <f>INDEX(KPI!$H:$H,SUMIFS(KPI!$D:$D,KPI!$F:$F,$F86))</f>
        <v>руб.</v>
      </c>
      <c r="I86" s="7"/>
      <c r="J86" s="7"/>
      <c r="K86" s="7"/>
      <c r="L86" s="10" t="s">
        <v>10</v>
      </c>
      <c r="M86" s="29">
        <v>5.03</v>
      </c>
      <c r="N86" s="29">
        <v>5.03</v>
      </c>
      <c r="O86" s="29">
        <v>5.03</v>
      </c>
      <c r="P86" s="29">
        <v>5.03</v>
      </c>
      <c r="Q86" s="29">
        <v>5.03</v>
      </c>
      <c r="R86" s="29">
        <v>5.03</v>
      </c>
      <c r="S86" s="29">
        <v>5.03</v>
      </c>
      <c r="T86" s="29">
        <v>5.03</v>
      </c>
      <c r="U86" s="29">
        <v>5.03</v>
      </c>
      <c r="V86" s="29">
        <v>5.03</v>
      </c>
      <c r="W86" s="29">
        <v>5.03</v>
      </c>
      <c r="X86" s="29">
        <v>5.03</v>
      </c>
      <c r="Y86" s="29">
        <v>5.03</v>
      </c>
      <c r="Z86" s="29">
        <v>5.03</v>
      </c>
      <c r="AA86" s="29">
        <v>5.03</v>
      </c>
      <c r="AB86" s="29">
        <v>5.03</v>
      </c>
      <c r="AC86" s="29">
        <v>5.03</v>
      </c>
      <c r="AD86" s="29">
        <v>5.03</v>
      </c>
      <c r="AE86" s="29">
        <v>5.03</v>
      </c>
      <c r="AF86" s="29">
        <v>5.03</v>
      </c>
      <c r="AG86" s="29">
        <v>5.03</v>
      </c>
      <c r="AH86" s="29">
        <v>5.03</v>
      </c>
      <c r="AI86" s="29">
        <v>5.03</v>
      </c>
      <c r="AJ86" s="29">
        <v>5.03</v>
      </c>
      <c r="AK86" s="29">
        <v>5.03</v>
      </c>
      <c r="AL86" s="7"/>
      <c r="AM86" s="7"/>
    </row>
    <row r="87" spans="1:39" x14ac:dyDescent="0.25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s="8" customFormat="1" x14ac:dyDescent="0.25">
      <c r="A88" s="7"/>
      <c r="B88" s="7"/>
      <c r="C88" s="7"/>
      <c r="D88" s="7"/>
      <c r="E88" s="7"/>
      <c r="F88" s="7" t="str">
        <f>KPI!$F$26</f>
        <v>сезонный коэффициент для коммунальных расходов</v>
      </c>
      <c r="G88" s="7"/>
      <c r="H88" s="7" t="str">
        <f>INDEX(KPI!$H:$H,SUMIFS(KPI!$D:$D,KPI!$F:$F,$F88))</f>
        <v>%</v>
      </c>
      <c r="I88" s="7"/>
      <c r="J88" s="7"/>
      <c r="K88" s="7"/>
      <c r="L88" s="10" t="s">
        <v>10</v>
      </c>
      <c r="M88" s="24">
        <v>1.6</v>
      </c>
      <c r="N88" s="24">
        <v>1.6</v>
      </c>
      <c r="O88" s="24">
        <v>1.2</v>
      </c>
      <c r="P88" s="24">
        <v>1</v>
      </c>
      <c r="Q88" s="24">
        <v>0.9</v>
      </c>
      <c r="R88" s="24">
        <v>0.7</v>
      </c>
      <c r="S88" s="24">
        <v>0.6</v>
      </c>
      <c r="T88" s="24">
        <v>0.6</v>
      </c>
      <c r="U88" s="24">
        <v>0.9</v>
      </c>
      <c r="V88" s="24">
        <v>1</v>
      </c>
      <c r="W88" s="24">
        <v>1.2</v>
      </c>
      <c r="X88" s="24">
        <v>1.6</v>
      </c>
      <c r="Y88" s="24">
        <v>1.6</v>
      </c>
      <c r="Z88" s="24">
        <v>1.6</v>
      </c>
      <c r="AA88" s="24">
        <v>1.2</v>
      </c>
      <c r="AB88" s="24">
        <v>1</v>
      </c>
      <c r="AC88" s="24">
        <v>0.9</v>
      </c>
      <c r="AD88" s="24">
        <v>0.7</v>
      </c>
      <c r="AE88" s="24">
        <v>0.6</v>
      </c>
      <c r="AF88" s="24">
        <v>0.6</v>
      </c>
      <c r="AG88" s="24">
        <v>0.9</v>
      </c>
      <c r="AH88" s="24">
        <v>1</v>
      </c>
      <c r="AI88" s="24">
        <v>1.2</v>
      </c>
      <c r="AJ88" s="24">
        <v>1.6</v>
      </c>
      <c r="AK88" s="24">
        <v>1.6</v>
      </c>
      <c r="AL88" s="7"/>
      <c r="AM88" s="7"/>
    </row>
    <row r="89" spans="1:39" x14ac:dyDescent="0.25">
      <c r="A89" s="1"/>
      <c r="B89" s="1"/>
      <c r="C89" s="1"/>
      <c r="D89" s="7"/>
      <c r="E89" s="1"/>
      <c r="F89" s="1"/>
      <c r="G89" s="1"/>
      <c r="H89" s="1"/>
      <c r="I89" s="1"/>
      <c r="J89" s="1"/>
      <c r="K89" s="1"/>
      <c r="L89" s="1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s="8" customFormat="1" x14ac:dyDescent="0.25">
      <c r="A90" s="7"/>
      <c r="B90" s="7"/>
      <c r="C90" s="7"/>
      <c r="D90" s="7"/>
      <c r="E90" s="7"/>
      <c r="F90" s="7" t="str">
        <f>KPI!$F$27</f>
        <v>%-нт прочих коммунальных расходов от эл/энергии</v>
      </c>
      <c r="G90" s="7"/>
      <c r="H90" s="7" t="str">
        <f>INDEX(KPI!$H:$H,SUMIFS(KPI!$D:$D,KPI!$F:$F,$F90))</f>
        <v>%</v>
      </c>
      <c r="I90" s="7"/>
      <c r="J90" s="7"/>
      <c r="K90" s="7"/>
      <c r="L90" s="10" t="s">
        <v>10</v>
      </c>
      <c r="M90" s="24">
        <v>0.2</v>
      </c>
      <c r="N90" s="24">
        <v>0.25</v>
      </c>
      <c r="O90" s="24">
        <v>0.15</v>
      </c>
      <c r="P90" s="24">
        <v>0.1</v>
      </c>
      <c r="Q90" s="24">
        <v>0.1</v>
      </c>
      <c r="R90" s="24">
        <v>7.0000000000000007E-2</v>
      </c>
      <c r="S90" s="24">
        <v>7.0000000000000007E-2</v>
      </c>
      <c r="T90" s="24">
        <v>7.0000000000000007E-2</v>
      </c>
      <c r="U90" s="24">
        <v>0.1</v>
      </c>
      <c r="V90" s="24">
        <v>0.1</v>
      </c>
      <c r="W90" s="24">
        <v>0.15</v>
      </c>
      <c r="X90" s="24">
        <v>0.2</v>
      </c>
      <c r="Y90" s="24">
        <v>0.2</v>
      </c>
      <c r="Z90" s="24">
        <v>0.25</v>
      </c>
      <c r="AA90" s="24">
        <v>0.15</v>
      </c>
      <c r="AB90" s="24">
        <v>0.1</v>
      </c>
      <c r="AC90" s="24">
        <v>0.1</v>
      </c>
      <c r="AD90" s="24">
        <v>7.0000000000000007E-2</v>
      </c>
      <c r="AE90" s="24">
        <v>7.0000000000000007E-2</v>
      </c>
      <c r="AF90" s="24">
        <v>7.0000000000000007E-2</v>
      </c>
      <c r="AG90" s="24">
        <v>0.1</v>
      </c>
      <c r="AH90" s="24">
        <v>0.1</v>
      </c>
      <c r="AI90" s="24">
        <v>0.15</v>
      </c>
      <c r="AJ90" s="24">
        <v>0.2</v>
      </c>
      <c r="AK90" s="24">
        <v>0.2</v>
      </c>
      <c r="AL90" s="7"/>
      <c r="AM90" s="7"/>
    </row>
    <row r="91" spans="1:39" x14ac:dyDescent="0.25">
      <c r="A91" s="1"/>
      <c r="B91" s="1"/>
      <c r="C91" s="1"/>
      <c r="D91" s="7"/>
      <c r="E91" s="1"/>
      <c r="F91" s="1"/>
      <c r="G91" s="1"/>
      <c r="H91" s="1"/>
      <c r="I91" s="1"/>
      <c r="J91" s="1"/>
      <c r="K91" s="1"/>
      <c r="L91" s="1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s="8" customFormat="1" x14ac:dyDescent="0.25">
      <c r="A92" s="7"/>
      <c r="B92" s="7"/>
      <c r="C92" s="7"/>
      <c r="D92" s="27"/>
      <c r="E92" s="7"/>
      <c r="F92" s="27" t="str">
        <f>KPI!$F$28</f>
        <v>коммунальные расходы</v>
      </c>
      <c r="G92" s="7"/>
      <c r="H92" s="27" t="str">
        <f>INDEX(KPI!$H:$H,SUMIFS(KPI!$D:$D,KPI!$F:$F,$F92))</f>
        <v>тыс.руб.</v>
      </c>
      <c r="I92" s="7"/>
      <c r="J92" s="7"/>
      <c r="K92" s="7"/>
      <c r="L92" s="10"/>
      <c r="M92" s="28">
        <f>SUM(M93:M95)</f>
        <v>9427.0537728000018</v>
      </c>
      <c r="N92" s="28">
        <f t="shared" ref="N92:AK92" si="114">SUM(N93:N95)</f>
        <v>10388.680320000003</v>
      </c>
      <c r="O92" s="28">
        <f t="shared" si="114"/>
        <v>7271.8106399999997</v>
      </c>
      <c r="P92" s="28">
        <f t="shared" si="114"/>
        <v>6022.5155760000007</v>
      </c>
      <c r="Q92" s="28">
        <f t="shared" si="114"/>
        <v>5482.0521360000002</v>
      </c>
      <c r="R92" s="28">
        <f t="shared" si="114"/>
        <v>4535.2502462400007</v>
      </c>
      <c r="S92" s="28">
        <f t="shared" si="114"/>
        <v>4062.7449230399998</v>
      </c>
      <c r="T92" s="28">
        <f t="shared" si="114"/>
        <v>3812.8001990399998</v>
      </c>
      <c r="U92" s="28">
        <f t="shared" si="114"/>
        <v>6850.354183200001</v>
      </c>
      <c r="V92" s="28">
        <f t="shared" si="114"/>
        <v>7859.9584800000011</v>
      </c>
      <c r="W92" s="28">
        <f t="shared" si="114"/>
        <v>10401.104822399999</v>
      </c>
      <c r="X92" s="28">
        <f t="shared" si="114"/>
        <v>14004.292608</v>
      </c>
      <c r="Y92" s="28">
        <f t="shared" si="114"/>
        <v>14780.068300800001</v>
      </c>
      <c r="Z92" s="28">
        <f t="shared" si="114"/>
        <v>15395.904480000001</v>
      </c>
      <c r="AA92" s="28">
        <f t="shared" si="114"/>
        <v>10445.418719999998</v>
      </c>
      <c r="AB92" s="28">
        <f t="shared" si="114"/>
        <v>8949.3840479999999</v>
      </c>
      <c r="AC92" s="28">
        <f t="shared" si="114"/>
        <v>7794.6248160000014</v>
      </c>
      <c r="AD92" s="28">
        <f t="shared" si="114"/>
        <v>6093.7169563200005</v>
      </c>
      <c r="AE92" s="28">
        <f t="shared" si="114"/>
        <v>5223.1859625600009</v>
      </c>
      <c r="AF92" s="28">
        <f t="shared" si="114"/>
        <v>4717.7163532800005</v>
      </c>
      <c r="AG92" s="28">
        <f t="shared" si="114"/>
        <v>8054.4456432000015</v>
      </c>
      <c r="AH92" s="28">
        <f t="shared" si="114"/>
        <v>8660.6942400000007</v>
      </c>
      <c r="AI92" s="28">
        <f t="shared" si="114"/>
        <v>11227.4090784</v>
      </c>
      <c r="AJ92" s="28">
        <f t="shared" si="114"/>
        <v>15116.848128000001</v>
      </c>
      <c r="AK92" s="28">
        <f t="shared" si="114"/>
        <v>15620.7430656</v>
      </c>
      <c r="AL92" s="7"/>
      <c r="AM92" s="7"/>
    </row>
    <row r="93" spans="1:39" s="4" customFormat="1" ht="10.199999999999999" x14ac:dyDescent="0.2">
      <c r="A93" s="3"/>
      <c r="B93" s="3"/>
      <c r="C93" s="3"/>
      <c r="D93" s="9"/>
      <c r="E93" s="3"/>
      <c r="F93" s="5" t="str">
        <f>структура!$H$9</f>
        <v>в т.ч.</v>
      </c>
      <c r="G93" s="3"/>
      <c r="H93" s="3"/>
      <c r="I93" s="3"/>
      <c r="J93" s="3"/>
      <c r="K93" s="3"/>
      <c r="L93" s="1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1"/>
      <c r="B94" s="1"/>
      <c r="C94" s="1"/>
      <c r="D94" s="7"/>
      <c r="E94" s="1"/>
      <c r="F94" s="6" t="str">
        <f>структура!$F$9</f>
        <v>народный гараж</v>
      </c>
      <c r="G94" s="1"/>
      <c r="H94" s="1" t="str">
        <f>H92</f>
        <v>тыс.руб.</v>
      </c>
      <c r="I94" s="1"/>
      <c r="J94" s="1"/>
      <c r="K94" s="1"/>
      <c r="L94" s="10"/>
      <c r="M94" s="18">
        <f t="shared" ref="M94:AK94" si="115">M22*M83*DAY(M$7)*M$86*M$88*(1+M$90)/1000</f>
        <v>5288.3472383999997</v>
      </c>
      <c r="N94" s="18">
        <f t="shared" si="115"/>
        <v>5808.0806400000019</v>
      </c>
      <c r="O94" s="18">
        <f t="shared" si="115"/>
        <v>4078.2113279999999</v>
      </c>
      <c r="P94" s="18">
        <f t="shared" si="115"/>
        <v>3392.0388480000001</v>
      </c>
      <c r="Q94" s="18">
        <f t="shared" si="115"/>
        <v>3126.4548480000003</v>
      </c>
      <c r="R94" s="18">
        <f t="shared" si="115"/>
        <v>2466.6379584000006</v>
      </c>
      <c r="S94" s="18">
        <f t="shared" si="115"/>
        <v>2268.02555136</v>
      </c>
      <c r="T94" s="18">
        <f t="shared" si="115"/>
        <v>2152.7022182400001</v>
      </c>
      <c r="U94" s="18">
        <f t="shared" si="115"/>
        <v>3882.7318464000004</v>
      </c>
      <c r="V94" s="18">
        <f t="shared" si="115"/>
        <v>4525.5513600000004</v>
      </c>
      <c r="W94" s="18">
        <f t="shared" si="115"/>
        <v>6032.0210687999988</v>
      </c>
      <c r="X94" s="18">
        <f t="shared" si="115"/>
        <v>8121.6552959999999</v>
      </c>
      <c r="Y94" s="18">
        <f t="shared" si="115"/>
        <v>8507.3412095999993</v>
      </c>
      <c r="Z94" s="18">
        <f t="shared" si="115"/>
        <v>8861.8137599999991</v>
      </c>
      <c r="AA94" s="18">
        <f t="shared" si="115"/>
        <v>6037.3520639999988</v>
      </c>
      <c r="AB94" s="18">
        <f t="shared" si="115"/>
        <v>5170.3893120000002</v>
      </c>
      <c r="AC94" s="18">
        <f t="shared" si="115"/>
        <v>4503.2423040000012</v>
      </c>
      <c r="AD94" s="18">
        <f t="shared" si="115"/>
        <v>3520.5650860800001</v>
      </c>
      <c r="AE94" s="18">
        <f t="shared" si="115"/>
        <v>3017.6272166400004</v>
      </c>
      <c r="AF94" s="18">
        <f t="shared" si="115"/>
        <v>2725.5987763200001</v>
      </c>
      <c r="AG94" s="18">
        <f t="shared" si="115"/>
        <v>4653.3503808000005</v>
      </c>
      <c r="AH94" s="18">
        <f t="shared" si="115"/>
        <v>5003.6025600000012</v>
      </c>
      <c r="AI94" s="18">
        <f t="shared" si="115"/>
        <v>6486.4884095999987</v>
      </c>
      <c r="AJ94" s="18">
        <f t="shared" si="115"/>
        <v>8733.560832000001</v>
      </c>
      <c r="AK94" s="18">
        <f t="shared" si="115"/>
        <v>9024.6795263999993</v>
      </c>
      <c r="AL94" s="1"/>
      <c r="AM94" s="1"/>
    </row>
    <row r="95" spans="1:39" x14ac:dyDescent="0.25">
      <c r="A95" s="1"/>
      <c r="B95" s="1"/>
      <c r="C95" s="1"/>
      <c r="D95" s="7"/>
      <c r="E95" s="1"/>
      <c r="F95" s="6" t="str">
        <f>структура!$F$10</f>
        <v>хозяйственное ведение</v>
      </c>
      <c r="G95" s="1"/>
      <c r="H95" s="1" t="str">
        <f>H92</f>
        <v>тыс.руб.</v>
      </c>
      <c r="I95" s="1"/>
      <c r="J95" s="1"/>
      <c r="K95" s="1"/>
      <c r="L95" s="10"/>
      <c r="M95" s="18">
        <f t="shared" ref="M95:AK95" si="116">M23*M84*DAY(M$7)*M$86*M$88*(1+M$90)/1000</f>
        <v>4138.7065344000011</v>
      </c>
      <c r="N95" s="18">
        <f t="shared" si="116"/>
        <v>4580.5996800000012</v>
      </c>
      <c r="O95" s="18">
        <f t="shared" si="116"/>
        <v>3193.5993120000003</v>
      </c>
      <c r="P95" s="18">
        <f t="shared" si="116"/>
        <v>2630.4767280000005</v>
      </c>
      <c r="Q95" s="18">
        <f t="shared" si="116"/>
        <v>2355.5972880000004</v>
      </c>
      <c r="R95" s="18">
        <f t="shared" si="116"/>
        <v>2068.6122878399997</v>
      </c>
      <c r="S95" s="18">
        <f t="shared" si="116"/>
        <v>1794.71937168</v>
      </c>
      <c r="T95" s="18">
        <f t="shared" si="116"/>
        <v>1660.0979808</v>
      </c>
      <c r="U95" s="18">
        <f t="shared" si="116"/>
        <v>2967.6223368000005</v>
      </c>
      <c r="V95" s="18">
        <f t="shared" si="116"/>
        <v>3334.4071200000008</v>
      </c>
      <c r="W95" s="18">
        <f t="shared" si="116"/>
        <v>4369.0837535999999</v>
      </c>
      <c r="X95" s="18">
        <f t="shared" si="116"/>
        <v>5882.6373120000007</v>
      </c>
      <c r="Y95" s="18">
        <f t="shared" si="116"/>
        <v>6272.7270912000013</v>
      </c>
      <c r="Z95" s="18">
        <f t="shared" si="116"/>
        <v>6534.090720000002</v>
      </c>
      <c r="AA95" s="18">
        <f t="shared" si="116"/>
        <v>4408.0666559999991</v>
      </c>
      <c r="AB95" s="18">
        <f t="shared" si="116"/>
        <v>3778.9947360000006</v>
      </c>
      <c r="AC95" s="18">
        <f t="shared" si="116"/>
        <v>3291.3825120000006</v>
      </c>
      <c r="AD95" s="18">
        <f t="shared" si="116"/>
        <v>2573.1518702399999</v>
      </c>
      <c r="AE95" s="18">
        <f t="shared" si="116"/>
        <v>2205.5587459200001</v>
      </c>
      <c r="AF95" s="18">
        <f t="shared" si="116"/>
        <v>1992.1175769600004</v>
      </c>
      <c r="AG95" s="18">
        <f t="shared" si="116"/>
        <v>3401.095262400001</v>
      </c>
      <c r="AH95" s="18">
        <f t="shared" si="116"/>
        <v>3657.0916800000005</v>
      </c>
      <c r="AI95" s="18">
        <f t="shared" si="116"/>
        <v>4740.9206688000004</v>
      </c>
      <c r="AJ95" s="18">
        <f t="shared" si="116"/>
        <v>6383.2872960000013</v>
      </c>
      <c r="AK95" s="18">
        <f t="shared" si="116"/>
        <v>6596.0635392000004</v>
      </c>
      <c r="AL95" s="1"/>
      <c r="AM95" s="1"/>
    </row>
    <row r="96" spans="1:39" x14ac:dyDescent="0.25">
      <c r="A96" s="1"/>
      <c r="B96" s="1"/>
      <c r="C96" s="1"/>
      <c r="D96" s="7"/>
      <c r="E96" s="1"/>
      <c r="F96" s="1"/>
      <c r="G96" s="1"/>
      <c r="H96" s="1"/>
      <c r="I96" s="1"/>
      <c r="J96" s="1"/>
      <c r="K96" s="1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8" customFormat="1" x14ac:dyDescent="0.25">
      <c r="A97" s="7"/>
      <c r="B97" s="7"/>
      <c r="C97" s="7"/>
      <c r="D97" s="7" t="str">
        <f>структура!$D$15</f>
        <v>Списания ДС</v>
      </c>
      <c r="E97" s="7"/>
      <c r="F97" s="7" t="str">
        <f>KPI!$F$29</f>
        <v>распределение платежей за коммунальные услуги</v>
      </c>
      <c r="G97" s="7"/>
      <c r="H97" s="7" t="str">
        <f>INDEX(KPI!$H:$H,SUMIFS(KPI!$D:$D,KPI!$F:$F,$F97))</f>
        <v>%</v>
      </c>
      <c r="I97" s="7"/>
      <c r="J97" s="7"/>
      <c r="K97" s="7"/>
      <c r="L97" s="10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7"/>
      <c r="AM97" s="7"/>
    </row>
    <row r="98" spans="1:39" s="4" customFormat="1" ht="10.199999999999999" x14ac:dyDescent="0.2">
      <c r="A98" s="3"/>
      <c r="B98" s="3"/>
      <c r="C98" s="3"/>
      <c r="D98" s="9"/>
      <c r="E98" s="3"/>
      <c r="F98" s="5" t="str">
        <f>структура!$H$9</f>
        <v>в т.ч.</v>
      </c>
      <c r="G98" s="3"/>
      <c r="H98" s="3"/>
      <c r="I98" s="3"/>
      <c r="J98" s="3"/>
      <c r="K98" s="3"/>
      <c r="L98" s="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1"/>
      <c r="B99" s="1"/>
      <c r="C99" s="1"/>
      <c r="D99" s="7"/>
      <c r="E99" s="1"/>
      <c r="F99" s="6" t="str">
        <f>структура!$F$9</f>
        <v>народный гараж</v>
      </c>
      <c r="G99" s="1"/>
      <c r="H99" s="1" t="str">
        <f>H97</f>
        <v>%</v>
      </c>
      <c r="I99" s="1"/>
      <c r="J99" s="1"/>
      <c r="K99" s="1"/>
      <c r="L99" s="10" t="s">
        <v>10</v>
      </c>
      <c r="M99" s="24">
        <v>0.05</v>
      </c>
      <c r="N99" s="24">
        <v>0.85</v>
      </c>
      <c r="O99" s="24">
        <v>0.1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5">
        <v>0</v>
      </c>
      <c r="AK99" s="26">
        <f>100%-SUM(M99:AJ99)</f>
        <v>0</v>
      </c>
      <c r="AL99" s="1"/>
      <c r="AM99" s="1"/>
    </row>
    <row r="100" spans="1:39" x14ac:dyDescent="0.25">
      <c r="A100" s="1"/>
      <c r="B100" s="1"/>
      <c r="C100" s="1"/>
      <c r="D100" s="7"/>
      <c r="E100" s="1"/>
      <c r="F100" s="6" t="str">
        <f>структура!$F$10</f>
        <v>хозяйственное ведение</v>
      </c>
      <c r="G100" s="1"/>
      <c r="H100" s="1" t="str">
        <f>H97</f>
        <v>%</v>
      </c>
      <c r="I100" s="1"/>
      <c r="J100" s="1"/>
      <c r="K100" s="1"/>
      <c r="L100" s="10" t="s">
        <v>10</v>
      </c>
      <c r="M100" s="24">
        <v>0.05</v>
      </c>
      <c r="N100" s="24">
        <v>0.85</v>
      </c>
      <c r="O100" s="24">
        <v>0.1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5">
        <v>0</v>
      </c>
      <c r="AK100" s="26">
        <f>100%-SUM(M100:AJ100)</f>
        <v>0</v>
      </c>
      <c r="AL100" s="1"/>
      <c r="AM100" s="1"/>
    </row>
    <row r="101" spans="1:39" x14ac:dyDescent="0.25">
      <c r="A101" s="1"/>
      <c r="B101" s="1"/>
      <c r="C101" s="1"/>
      <c r="D101" s="7"/>
      <c r="E101" s="1"/>
      <c r="F101" s="1"/>
      <c r="G101" s="1"/>
      <c r="H101" s="1"/>
      <c r="I101" s="1"/>
      <c r="J101" s="1"/>
      <c r="K101" s="1"/>
      <c r="L101" s="1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8" customFormat="1" x14ac:dyDescent="0.25">
      <c r="A102" s="7"/>
      <c r="B102" s="7"/>
      <c r="C102" s="7"/>
      <c r="D102" s="7"/>
      <c r="E102" s="7"/>
      <c r="F102" s="7" t="str">
        <f>KPI!$F$30</f>
        <v>обратное распр-ние коммунальных платежей</v>
      </c>
      <c r="G102" s="7"/>
      <c r="H102" s="7" t="str">
        <f>INDEX(KPI!$H:$H,SUMIFS(KPI!$D:$D,KPI!$F:$F,$F102))</f>
        <v>%</v>
      </c>
      <c r="I102" s="7"/>
      <c r="J102" s="7"/>
      <c r="K102" s="7"/>
      <c r="L102" s="10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7"/>
      <c r="AM102" s="7"/>
    </row>
    <row r="103" spans="1:39" s="4" customFormat="1" ht="10.199999999999999" x14ac:dyDescent="0.2">
      <c r="A103" s="3"/>
      <c r="B103" s="3"/>
      <c r="C103" s="3"/>
      <c r="D103" s="9"/>
      <c r="E103" s="3"/>
      <c r="F103" s="5" t="str">
        <f>структура!$H$9</f>
        <v>в т.ч.</v>
      </c>
      <c r="G103" s="3"/>
      <c r="H103" s="3"/>
      <c r="I103" s="3"/>
      <c r="J103" s="3"/>
      <c r="K103" s="3"/>
      <c r="L103" s="1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1"/>
      <c r="B104" s="1"/>
      <c r="C104" s="1"/>
      <c r="D104" s="7"/>
      <c r="E104" s="1"/>
      <c r="F104" s="6" t="str">
        <f>структура!$F$9</f>
        <v>народный гараж</v>
      </c>
      <c r="G104" s="1"/>
      <c r="H104" s="1" t="str">
        <f>H102</f>
        <v>%</v>
      </c>
      <c r="I104" s="1"/>
      <c r="J104" s="1"/>
      <c r="K104" s="1"/>
      <c r="L104" s="10"/>
      <c r="M104" s="23">
        <f t="shared" ref="M104:AK104" si="117">SUMIFS(99:99,$1:$1,M$2)</f>
        <v>0</v>
      </c>
      <c r="N104" s="23">
        <f t="shared" si="117"/>
        <v>0</v>
      </c>
      <c r="O104" s="23">
        <f t="shared" si="117"/>
        <v>0</v>
      </c>
      <c r="P104" s="23">
        <f t="shared" si="117"/>
        <v>0</v>
      </c>
      <c r="Q104" s="23">
        <f t="shared" si="117"/>
        <v>0</v>
      </c>
      <c r="R104" s="23">
        <f t="shared" si="117"/>
        <v>0</v>
      </c>
      <c r="S104" s="23">
        <f t="shared" si="117"/>
        <v>0</v>
      </c>
      <c r="T104" s="23">
        <f t="shared" si="117"/>
        <v>0</v>
      </c>
      <c r="U104" s="23">
        <f t="shared" si="117"/>
        <v>0</v>
      </c>
      <c r="V104" s="23">
        <f t="shared" si="117"/>
        <v>0</v>
      </c>
      <c r="W104" s="23">
        <f t="shared" si="117"/>
        <v>0</v>
      </c>
      <c r="X104" s="23">
        <f t="shared" si="117"/>
        <v>0</v>
      </c>
      <c r="Y104" s="23">
        <f t="shared" si="117"/>
        <v>0</v>
      </c>
      <c r="Z104" s="23">
        <f t="shared" si="117"/>
        <v>0</v>
      </c>
      <c r="AA104" s="23">
        <f t="shared" si="117"/>
        <v>0</v>
      </c>
      <c r="AB104" s="23">
        <f t="shared" si="117"/>
        <v>0</v>
      </c>
      <c r="AC104" s="23">
        <f t="shared" si="117"/>
        <v>0</v>
      </c>
      <c r="AD104" s="23">
        <f t="shared" si="117"/>
        <v>0</v>
      </c>
      <c r="AE104" s="23">
        <f t="shared" si="117"/>
        <v>0</v>
      </c>
      <c r="AF104" s="23">
        <f t="shared" si="117"/>
        <v>0</v>
      </c>
      <c r="AG104" s="23">
        <f t="shared" si="117"/>
        <v>0</v>
      </c>
      <c r="AH104" s="23">
        <f t="shared" si="117"/>
        <v>0</v>
      </c>
      <c r="AI104" s="23">
        <f t="shared" si="117"/>
        <v>0.1</v>
      </c>
      <c r="AJ104" s="23">
        <f t="shared" si="117"/>
        <v>0.85</v>
      </c>
      <c r="AK104" s="23">
        <f t="shared" si="117"/>
        <v>0.05</v>
      </c>
      <c r="AL104" s="1"/>
      <c r="AM104" s="1"/>
    </row>
    <row r="105" spans="1:39" x14ac:dyDescent="0.25">
      <c r="A105" s="1"/>
      <c r="B105" s="1"/>
      <c r="C105" s="1"/>
      <c r="D105" s="7"/>
      <c r="E105" s="1"/>
      <c r="F105" s="6" t="str">
        <f>структура!$F$10</f>
        <v>хозяйственное ведение</v>
      </c>
      <c r="G105" s="1"/>
      <c r="H105" s="1" t="str">
        <f>H102</f>
        <v>%</v>
      </c>
      <c r="I105" s="1"/>
      <c r="J105" s="1"/>
      <c r="K105" s="1"/>
      <c r="L105" s="10"/>
      <c r="M105" s="23">
        <f t="shared" ref="M105:AK105" si="118">SUMIFS(100:100,$1:$1,M$2)</f>
        <v>0</v>
      </c>
      <c r="N105" s="23">
        <f t="shared" si="118"/>
        <v>0</v>
      </c>
      <c r="O105" s="23">
        <f t="shared" si="118"/>
        <v>0</v>
      </c>
      <c r="P105" s="23">
        <f t="shared" si="118"/>
        <v>0</v>
      </c>
      <c r="Q105" s="23">
        <f t="shared" si="118"/>
        <v>0</v>
      </c>
      <c r="R105" s="23">
        <f t="shared" si="118"/>
        <v>0</v>
      </c>
      <c r="S105" s="23">
        <f t="shared" si="118"/>
        <v>0</v>
      </c>
      <c r="T105" s="23">
        <f t="shared" si="118"/>
        <v>0</v>
      </c>
      <c r="U105" s="23">
        <f t="shared" si="118"/>
        <v>0</v>
      </c>
      <c r="V105" s="23">
        <f t="shared" si="118"/>
        <v>0</v>
      </c>
      <c r="W105" s="23">
        <f t="shared" si="118"/>
        <v>0</v>
      </c>
      <c r="X105" s="23">
        <f t="shared" si="118"/>
        <v>0</v>
      </c>
      <c r="Y105" s="23">
        <f t="shared" si="118"/>
        <v>0</v>
      </c>
      <c r="Z105" s="23">
        <f t="shared" si="118"/>
        <v>0</v>
      </c>
      <c r="AA105" s="23">
        <f t="shared" si="118"/>
        <v>0</v>
      </c>
      <c r="AB105" s="23">
        <f t="shared" si="118"/>
        <v>0</v>
      </c>
      <c r="AC105" s="23">
        <f t="shared" si="118"/>
        <v>0</v>
      </c>
      <c r="AD105" s="23">
        <f t="shared" si="118"/>
        <v>0</v>
      </c>
      <c r="AE105" s="23">
        <f t="shared" si="118"/>
        <v>0</v>
      </c>
      <c r="AF105" s="23">
        <f t="shared" si="118"/>
        <v>0</v>
      </c>
      <c r="AG105" s="23">
        <f t="shared" si="118"/>
        <v>0</v>
      </c>
      <c r="AH105" s="23">
        <f t="shared" si="118"/>
        <v>0</v>
      </c>
      <c r="AI105" s="23">
        <f t="shared" si="118"/>
        <v>0.1</v>
      </c>
      <c r="AJ105" s="23">
        <f t="shared" si="118"/>
        <v>0.85</v>
      </c>
      <c r="AK105" s="23">
        <f t="shared" si="118"/>
        <v>0.05</v>
      </c>
      <c r="AL105" s="1"/>
      <c r="AM105" s="1"/>
    </row>
    <row r="106" spans="1:39" x14ac:dyDescent="0.25">
      <c r="A106" s="1"/>
      <c r="B106" s="1"/>
      <c r="C106" s="1"/>
      <c r="D106" s="7"/>
      <c r="E106" s="1"/>
      <c r="F106" s="1"/>
      <c r="G106" s="1"/>
      <c r="H106" s="1"/>
      <c r="I106" s="1"/>
      <c r="J106" s="1"/>
      <c r="K106" s="1"/>
      <c r="L106" s="1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8" customFormat="1" x14ac:dyDescent="0.25">
      <c r="A107" s="7"/>
      <c r="B107" s="7"/>
      <c r="C107" s="7"/>
      <c r="D107" s="27" t="str">
        <f>структура!$D$16</f>
        <v>CFOut</v>
      </c>
      <c r="E107" s="7"/>
      <c r="F107" s="27" t="str">
        <f>KPI!$F$31</f>
        <v>коммунальные платежи</v>
      </c>
      <c r="G107" s="7"/>
      <c r="H107" s="27" t="str">
        <f>INDEX(KPI!$H:$H,SUMIFS(KPI!$D:$D,KPI!$F:$F,$F107))</f>
        <v>тыс.руб.</v>
      </c>
      <c r="I107" s="7"/>
      <c r="J107" s="7"/>
      <c r="K107" s="7"/>
      <c r="L107" s="10"/>
      <c r="M107" s="28">
        <f>SUM(M108:M110)</f>
        <v>471.35268864000011</v>
      </c>
      <c r="N107" s="28">
        <f t="shared" ref="N107:AK107" si="119">SUM(N108:N110)</f>
        <v>8532.4297228800006</v>
      </c>
      <c r="O107" s="28">
        <f t="shared" si="119"/>
        <v>10136.674181280003</v>
      </c>
      <c r="P107" s="28">
        <f t="shared" si="119"/>
        <v>7521.0328548000007</v>
      </c>
      <c r="Q107" s="28">
        <f t="shared" si="119"/>
        <v>6120.4219104000003</v>
      </c>
      <c r="R107" s="28">
        <f t="shared" si="119"/>
        <v>5488.758385512001</v>
      </c>
      <c r="S107" s="28">
        <f t="shared" si="119"/>
        <v>4606.3051690560005</v>
      </c>
      <c r="T107" s="28">
        <f t="shared" si="119"/>
        <v>4097.4982191600002</v>
      </c>
      <c r="U107" s="28">
        <f t="shared" si="119"/>
        <v>3989.6723706480002</v>
      </c>
      <c r="V107" s="28">
        <f t="shared" si="119"/>
        <v>6597.078999624001</v>
      </c>
      <c r="W107" s="28">
        <f t="shared" si="119"/>
        <v>7886.0553674400007</v>
      </c>
      <c r="X107" s="28">
        <f t="shared" si="119"/>
        <v>10327.149577439999</v>
      </c>
      <c r="Y107" s="28">
        <f t="shared" si="119"/>
        <v>13682.762614079998</v>
      </c>
      <c r="Z107" s="28">
        <f t="shared" si="119"/>
        <v>14733.282540480001</v>
      </c>
      <c r="AA107" s="28">
        <f t="shared" si="119"/>
        <v>15086.796574079999</v>
      </c>
      <c r="AB107" s="28">
        <f t="shared" si="119"/>
        <v>10865.665562399998</v>
      </c>
      <c r="AC107" s="28">
        <f t="shared" si="119"/>
        <v>9041.2495536000006</v>
      </c>
      <c r="AD107" s="28">
        <f t="shared" si="119"/>
        <v>7825.0553462160015</v>
      </c>
      <c r="AE107" s="28">
        <f t="shared" si="119"/>
        <v>6220.2811925999995</v>
      </c>
      <c r="AF107" s="28">
        <f t="shared" si="119"/>
        <v>5284.9655814720008</v>
      </c>
      <c r="AG107" s="28">
        <f t="shared" si="119"/>
        <v>4935.0997787040005</v>
      </c>
      <c r="AH107" s="28">
        <f t="shared" si="119"/>
        <v>7751.0851440480019</v>
      </c>
      <c r="AI107" s="28">
        <f t="shared" si="119"/>
        <v>8728.405122240003</v>
      </c>
      <c r="AJ107" s="28">
        <f t="shared" si="119"/>
        <v>11165.209547039998</v>
      </c>
      <c r="AK107" s="28">
        <f t="shared" si="119"/>
        <v>14753.098969920002</v>
      </c>
      <c r="AL107" s="7"/>
      <c r="AM107" s="7"/>
    </row>
    <row r="108" spans="1:39" s="4" customFormat="1" ht="10.199999999999999" x14ac:dyDescent="0.2">
      <c r="A108" s="3"/>
      <c r="B108" s="3"/>
      <c r="C108" s="3"/>
      <c r="D108" s="9"/>
      <c r="E108" s="3"/>
      <c r="F108" s="5" t="str">
        <f>структура!$H$9</f>
        <v>в т.ч.</v>
      </c>
      <c r="G108" s="3"/>
      <c r="H108" s="3"/>
      <c r="I108" s="3"/>
      <c r="J108" s="3"/>
      <c r="K108" s="3"/>
      <c r="L108" s="1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1"/>
      <c r="B109" s="1"/>
      <c r="C109" s="1"/>
      <c r="D109" s="7"/>
      <c r="E109" s="1"/>
      <c r="F109" s="6" t="str">
        <f>структура!$F$9</f>
        <v>народный гараж</v>
      </c>
      <c r="G109" s="1"/>
      <c r="H109" s="1" t="str">
        <f>H107</f>
        <v>тыс.руб.</v>
      </c>
      <c r="I109" s="1"/>
      <c r="J109" s="1"/>
      <c r="K109" s="1"/>
      <c r="L109" s="10"/>
      <c r="M109" s="18">
        <f>SUMPRODUCT(M94:M94,AK104)</f>
        <v>264.41736192000002</v>
      </c>
      <c r="N109" s="18">
        <f>SUMPRODUCT(M94:N94,AJ104:AK104)</f>
        <v>4785.4991846399998</v>
      </c>
      <c r="O109" s="18">
        <f>SUMPRODUCT(M94:O94,AI104:AK104)</f>
        <v>5669.6138342400018</v>
      </c>
      <c r="P109" s="18">
        <f>SUMPRODUCT(M94:P94,AH104:AK104)</f>
        <v>4216.8896352000002</v>
      </c>
      <c r="Q109" s="18">
        <f>SUMPRODUCT(M94:Q94,AG104:AK104)</f>
        <v>3447.3768960000002</v>
      </c>
      <c r="R109" s="18">
        <f>SUMPRODUCT(M94:R94,AF104:AK104)</f>
        <v>3120.0224035200004</v>
      </c>
      <c r="S109" s="18">
        <f>SUMPRODUCT(M94:S94,AE104:AK104)</f>
        <v>2522.6890270080007</v>
      </c>
      <c r="T109" s="18">
        <f>SUMPRODUCT(M94:T94,AD104:AK104)</f>
        <v>2282.1206254080003</v>
      </c>
      <c r="U109" s="18">
        <f>SUMPRODUCT(M94:U94,AC104:AK104)</f>
        <v>2250.7360329600001</v>
      </c>
      <c r="V109" s="18">
        <f>SUMPRODUCT(M94:V94,AB104:AK104)</f>
        <v>3741.8698592640003</v>
      </c>
      <c r="W109" s="18">
        <f>SUMPRODUCT(M94:W94,AA104:AK104)</f>
        <v>4536.5928940800004</v>
      </c>
      <c r="X109" s="18">
        <f>SUMPRODUCT(M94:X94,Z104:AK104)</f>
        <v>5985.8558092799994</v>
      </c>
      <c r="Y109" s="18">
        <f>SUMPRODUCT(M94:Y94,Y104:AK104)</f>
        <v>7931.9761689599991</v>
      </c>
      <c r="Z109" s="18">
        <f>SUMPRODUCT(M94:Z94,X104:AK104)</f>
        <v>8486.4962457599995</v>
      </c>
      <c r="AA109" s="18">
        <f>SUMPRODUCT(M94:AA94,W104:AK104)</f>
        <v>8685.1434201599986</v>
      </c>
      <c r="AB109" s="18">
        <f>SUMPRODUCT(M94:AB94,V104:AK104)</f>
        <v>6276.4500959999987</v>
      </c>
      <c r="AC109" s="18">
        <f>SUMPRODUCT(M94:AC94,U104:AK104)</f>
        <v>5223.7282367999996</v>
      </c>
      <c r="AD109" s="18">
        <f>SUMPRODUCT(M94:AD94,T104:AK104)</f>
        <v>4520.823143904001</v>
      </c>
      <c r="AE109" s="18">
        <f>SUMPRODUCT(M94:AE94,S104:AK104)</f>
        <v>3593.6859144</v>
      </c>
      <c r="AF109" s="18">
        <f>SUMPRODUCT(M94:AF94,R104:AK104)</f>
        <v>3053.3195815680006</v>
      </c>
      <c r="AG109" s="18">
        <f>SUMPRODUCT(M94:AG94,Q104:AK104)</f>
        <v>2851.1892005760001</v>
      </c>
      <c r="AH109" s="18">
        <f>SUMPRODUCT(M94:AH94,P104:AK104)</f>
        <v>4478.0878293120004</v>
      </c>
      <c r="AI109" s="18">
        <f>SUMPRODUCT(M94:AI94,O104:AK104)</f>
        <v>5042.7216345600018</v>
      </c>
      <c r="AJ109" s="18">
        <f>SUMPRODUCT(M94:AJ94,N104:AK104)</f>
        <v>6450.5534457599988</v>
      </c>
      <c r="AK109" s="18">
        <f>SUMPRODUCT(M94:AK94,M104:AK104)</f>
        <v>8523.409524480001</v>
      </c>
      <c r="AL109" s="1"/>
      <c r="AM109" s="1"/>
    </row>
    <row r="110" spans="1:39" x14ac:dyDescent="0.25">
      <c r="A110" s="1"/>
      <c r="B110" s="1"/>
      <c r="C110" s="1"/>
      <c r="D110" s="7"/>
      <c r="E110" s="1"/>
      <c r="F110" s="6" t="str">
        <f>структура!$F$10</f>
        <v>хозяйственное ведение</v>
      </c>
      <c r="G110" s="1"/>
      <c r="H110" s="1" t="str">
        <f>H107</f>
        <v>тыс.руб.</v>
      </c>
      <c r="I110" s="1"/>
      <c r="J110" s="1"/>
      <c r="K110" s="1"/>
      <c r="L110" s="10"/>
      <c r="M110" s="18">
        <f>SUMPRODUCT(M95:M95,AK105)</f>
        <v>206.93532672000006</v>
      </c>
      <c r="N110" s="18">
        <f>SUMPRODUCT(M95:N95,AJ105:AK105)</f>
        <v>3746.9305382400012</v>
      </c>
      <c r="O110" s="18">
        <f>SUMPRODUCT(M95:O95,AI105:AK105)</f>
        <v>4467.060347040001</v>
      </c>
      <c r="P110" s="18">
        <f>SUMPRODUCT(M95:P95,AH105:AK105)</f>
        <v>3304.1432196000005</v>
      </c>
      <c r="Q110" s="18">
        <f>SUMPRODUCT(M95:Q95,AG105:AK105)</f>
        <v>2673.0450144000006</v>
      </c>
      <c r="R110" s="18">
        <f>SUMPRODUCT(M95:R95,AF105:AK105)</f>
        <v>2368.7359819920002</v>
      </c>
      <c r="S110" s="18">
        <f>SUMPRODUCT(M95:S95,AE105:AK105)</f>
        <v>2083.6161420479998</v>
      </c>
      <c r="T110" s="18">
        <f>SUMPRODUCT(M95:T95,AD105:AK105)</f>
        <v>1815.3775937519999</v>
      </c>
      <c r="U110" s="18">
        <f>SUMPRODUCT(M95:U95,AC105:AK105)</f>
        <v>1738.9363376880001</v>
      </c>
      <c r="V110" s="18">
        <f>SUMPRODUCT(M95:V95,AB105:AK105)</f>
        <v>2855.2091403600007</v>
      </c>
      <c r="W110" s="18">
        <f>SUMPRODUCT(M95:W95,AA105:AK105)</f>
        <v>3349.4624733600003</v>
      </c>
      <c r="X110" s="18">
        <f>SUMPRODUCT(M95:X95,Z105:AK105)</f>
        <v>4341.2937681599997</v>
      </c>
      <c r="Y110" s="18">
        <f>SUMPRODUCT(M95:Y95,Y105:AK105)</f>
        <v>5750.7864451200003</v>
      </c>
      <c r="Z110" s="18">
        <f>SUMPRODUCT(M95:Z95,X105:AK105)</f>
        <v>6246.786294720001</v>
      </c>
      <c r="AA110" s="18">
        <f>SUMPRODUCT(M95:AA95,W105:AK105)</f>
        <v>6401.6531539200014</v>
      </c>
      <c r="AB110" s="18">
        <f>SUMPRODUCT(M95:AB95,V105:AK105)</f>
        <v>4589.2154663999991</v>
      </c>
      <c r="AC110" s="18">
        <f>SUMPRODUCT(M95:AC95,U105:AK105)</f>
        <v>3817.5213168000005</v>
      </c>
      <c r="AD110" s="18">
        <f>SUMPRODUCT(M95:AD95,T105:AK105)</f>
        <v>3304.2322023120005</v>
      </c>
      <c r="AE110" s="18">
        <f>SUMPRODUCT(M95:AE95,S105:AK105)</f>
        <v>2626.5952781999999</v>
      </c>
      <c r="AF110" s="18">
        <f>SUMPRODUCT(M95:AF95,R105:AK105)</f>
        <v>2231.6459999039998</v>
      </c>
      <c r="AG110" s="18">
        <f>SUMPRODUCT(M95:AG95,Q105:AK105)</f>
        <v>2083.9105781280005</v>
      </c>
      <c r="AH110" s="18">
        <f>SUMPRODUCT(M95:AH95,P105:AK105)</f>
        <v>3272.997314736001</v>
      </c>
      <c r="AI110" s="18">
        <f>SUMPRODUCT(M95:AI95,O105:AK105)</f>
        <v>3685.6834876800008</v>
      </c>
      <c r="AJ110" s="18">
        <f>SUMPRODUCT(M95:AJ95,N105:AK105)</f>
        <v>4714.6561012800003</v>
      </c>
      <c r="AK110" s="18">
        <f>SUMPRODUCT(M95:AK95,M105:AK105)</f>
        <v>6229.6894454400008</v>
      </c>
      <c r="AL110" s="1"/>
      <c r="AM110" s="1"/>
    </row>
    <row r="111" spans="1:39" x14ac:dyDescent="0.25">
      <c r="A111" s="1"/>
      <c r="B111" s="1"/>
      <c r="C111" s="1"/>
      <c r="D111" s="7"/>
      <c r="E111" s="1"/>
      <c r="F111" s="1"/>
      <c r="G111" s="1"/>
      <c r="H111" s="1"/>
      <c r="I111" s="1"/>
      <c r="J111" s="1"/>
      <c r="K111" s="1"/>
      <c r="L111" s="1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s="8" customFormat="1" x14ac:dyDescent="0.25">
      <c r="A112" s="7"/>
      <c r="B112" s="7"/>
      <c r="C112" s="7"/>
      <c r="D112" s="7"/>
      <c r="E112" s="7"/>
      <c r="F112" s="7" t="str">
        <f>KPI!$F$32</f>
        <v>закупка материалов под эксплуатационные работы 1ой парковки</v>
      </c>
      <c r="G112" s="7"/>
      <c r="H112" s="7" t="str">
        <f>INDEX(KPI!$H:$H,SUMIFS(KPI!$D:$D,KPI!$F:$F,$F112))</f>
        <v>тыс.руб.</v>
      </c>
      <c r="I112" s="7"/>
      <c r="J112" s="7"/>
      <c r="K112" s="7"/>
      <c r="L112" s="10" t="s">
        <v>10</v>
      </c>
      <c r="M112" s="30">
        <v>30</v>
      </c>
      <c r="N112" s="30">
        <v>30</v>
      </c>
      <c r="O112" s="30">
        <v>30</v>
      </c>
      <c r="P112" s="30">
        <v>30</v>
      </c>
      <c r="Q112" s="30">
        <v>30</v>
      </c>
      <c r="R112" s="30">
        <v>30</v>
      </c>
      <c r="S112" s="30">
        <v>30</v>
      </c>
      <c r="T112" s="30">
        <v>30</v>
      </c>
      <c r="U112" s="30">
        <v>30</v>
      </c>
      <c r="V112" s="30">
        <v>30</v>
      </c>
      <c r="W112" s="30">
        <v>30</v>
      </c>
      <c r="X112" s="30">
        <v>30</v>
      </c>
      <c r="Y112" s="30">
        <v>30</v>
      </c>
      <c r="Z112" s="30">
        <v>30</v>
      </c>
      <c r="AA112" s="30">
        <v>30</v>
      </c>
      <c r="AB112" s="30">
        <v>30</v>
      </c>
      <c r="AC112" s="30">
        <v>30</v>
      </c>
      <c r="AD112" s="30">
        <v>30</v>
      </c>
      <c r="AE112" s="30">
        <v>30</v>
      </c>
      <c r="AF112" s="30">
        <v>30</v>
      </c>
      <c r="AG112" s="30">
        <v>30</v>
      </c>
      <c r="AH112" s="30">
        <v>30</v>
      </c>
      <c r="AI112" s="30">
        <v>30</v>
      </c>
      <c r="AJ112" s="30">
        <v>30</v>
      </c>
      <c r="AK112" s="30">
        <v>30</v>
      </c>
      <c r="AL112" s="7"/>
      <c r="AM112" s="7"/>
    </row>
    <row r="113" spans="1:39" x14ac:dyDescent="0.25">
      <c r="A113" s="1"/>
      <c r="B113" s="1"/>
      <c r="C113" s="1"/>
      <c r="D113" s="7"/>
      <c r="E113" s="1"/>
      <c r="F113" s="1"/>
      <c r="G113" s="1"/>
      <c r="H113" s="1"/>
      <c r="I113" s="1"/>
      <c r="J113" s="1"/>
      <c r="K113" s="1"/>
      <c r="L113" s="1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s="8" customFormat="1" x14ac:dyDescent="0.25">
      <c r="A114" s="7"/>
      <c r="B114" s="7"/>
      <c r="C114" s="7"/>
      <c r="D114" s="7"/>
      <c r="E114" s="7"/>
      <c r="F114" s="7" t="str">
        <f>KPI!$F$33</f>
        <v>закупка материалов</v>
      </c>
      <c r="G114" s="7"/>
      <c r="H114" s="7" t="str">
        <f>INDEX(KPI!$H:$H,SUMIFS(KPI!$D:$D,KPI!$F:$F,$F114))</f>
        <v>тыс.руб.</v>
      </c>
      <c r="I114" s="7"/>
      <c r="J114" s="7"/>
      <c r="K114" s="7"/>
      <c r="L114" s="10"/>
      <c r="M114" s="17">
        <f>SUM(M115:M117)</f>
        <v>4680</v>
      </c>
      <c r="N114" s="17">
        <f t="shared" ref="N114:AK114" si="120">SUM(N115:N117)</f>
        <v>4950</v>
      </c>
      <c r="O114" s="17">
        <f t="shared" si="120"/>
        <v>5190</v>
      </c>
      <c r="P114" s="17">
        <f t="shared" si="120"/>
        <v>5220</v>
      </c>
      <c r="Q114" s="17">
        <f t="shared" si="120"/>
        <v>5460</v>
      </c>
      <c r="R114" s="17">
        <f t="shared" si="120"/>
        <v>5760</v>
      </c>
      <c r="S114" s="17">
        <f t="shared" si="120"/>
        <v>6030</v>
      </c>
      <c r="T114" s="17">
        <f t="shared" si="120"/>
        <v>6270</v>
      </c>
      <c r="U114" s="17">
        <f t="shared" si="120"/>
        <v>6600</v>
      </c>
      <c r="V114" s="17">
        <f t="shared" si="120"/>
        <v>7050</v>
      </c>
      <c r="W114" s="17">
        <f t="shared" si="120"/>
        <v>7200</v>
      </c>
      <c r="X114" s="17">
        <f t="shared" si="120"/>
        <v>7200</v>
      </c>
      <c r="Y114" s="17">
        <f t="shared" si="120"/>
        <v>7350</v>
      </c>
      <c r="Z114" s="17">
        <f t="shared" si="120"/>
        <v>7350</v>
      </c>
      <c r="AA114" s="17">
        <f t="shared" si="120"/>
        <v>7470</v>
      </c>
      <c r="AB114" s="17">
        <f t="shared" si="120"/>
        <v>7770</v>
      </c>
      <c r="AC114" s="17">
        <f t="shared" si="120"/>
        <v>7770</v>
      </c>
      <c r="AD114" s="17">
        <f t="shared" si="120"/>
        <v>7770</v>
      </c>
      <c r="AE114" s="17">
        <f t="shared" si="120"/>
        <v>7770</v>
      </c>
      <c r="AF114" s="17">
        <f t="shared" si="120"/>
        <v>7770</v>
      </c>
      <c r="AG114" s="17">
        <f t="shared" si="120"/>
        <v>7770</v>
      </c>
      <c r="AH114" s="17">
        <f t="shared" si="120"/>
        <v>7770</v>
      </c>
      <c r="AI114" s="17">
        <f t="shared" si="120"/>
        <v>7770</v>
      </c>
      <c r="AJ114" s="17">
        <f t="shared" si="120"/>
        <v>7770</v>
      </c>
      <c r="AK114" s="17">
        <f t="shared" si="120"/>
        <v>7770</v>
      </c>
      <c r="AL114" s="7"/>
      <c r="AM114" s="7"/>
    </row>
    <row r="115" spans="1:39" s="4" customFormat="1" ht="10.199999999999999" x14ac:dyDescent="0.2">
      <c r="A115" s="3"/>
      <c r="B115" s="3"/>
      <c r="C115" s="3"/>
      <c r="D115" s="9"/>
      <c r="E115" s="3"/>
      <c r="F115" s="5" t="str">
        <f>структура!$H$9</f>
        <v>в т.ч.</v>
      </c>
      <c r="G115" s="3"/>
      <c r="H115" s="3"/>
      <c r="I115" s="3"/>
      <c r="J115" s="3"/>
      <c r="K115" s="3"/>
      <c r="L115" s="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1"/>
      <c r="B116" s="1"/>
      <c r="C116" s="1"/>
      <c r="D116" s="7"/>
      <c r="E116" s="1"/>
      <c r="F116" s="6" t="str">
        <f>структура!$F$9</f>
        <v>народный гараж</v>
      </c>
      <c r="G116" s="1"/>
      <c r="H116" s="1" t="str">
        <f>H114</f>
        <v>тыс.руб.</v>
      </c>
      <c r="I116" s="1"/>
      <c r="J116" s="1"/>
      <c r="K116" s="1"/>
      <c r="L116" s="10"/>
      <c r="M116" s="18">
        <f>M12*M$112</f>
        <v>2760</v>
      </c>
      <c r="N116" s="18">
        <f t="shared" ref="N116:AK116" si="121">N12*N$112</f>
        <v>2910</v>
      </c>
      <c r="O116" s="18">
        <f t="shared" si="121"/>
        <v>3060</v>
      </c>
      <c r="P116" s="18">
        <f t="shared" si="121"/>
        <v>3090</v>
      </c>
      <c r="Q116" s="18">
        <f t="shared" si="121"/>
        <v>3270</v>
      </c>
      <c r="R116" s="18">
        <f t="shared" si="121"/>
        <v>3300</v>
      </c>
      <c r="S116" s="18">
        <f t="shared" si="121"/>
        <v>3540</v>
      </c>
      <c r="T116" s="18">
        <f t="shared" si="121"/>
        <v>3720</v>
      </c>
      <c r="U116" s="18">
        <f t="shared" si="121"/>
        <v>3930</v>
      </c>
      <c r="V116" s="18">
        <f t="shared" si="121"/>
        <v>4260</v>
      </c>
      <c r="W116" s="18">
        <f t="shared" si="121"/>
        <v>4380</v>
      </c>
      <c r="X116" s="18">
        <f t="shared" si="121"/>
        <v>4380</v>
      </c>
      <c r="Y116" s="18">
        <f t="shared" si="121"/>
        <v>4440</v>
      </c>
      <c r="Z116" s="18">
        <f t="shared" si="121"/>
        <v>4440</v>
      </c>
      <c r="AA116" s="18">
        <f t="shared" si="121"/>
        <v>4530</v>
      </c>
      <c r="AB116" s="18">
        <f t="shared" si="121"/>
        <v>4710</v>
      </c>
      <c r="AC116" s="18">
        <f t="shared" si="121"/>
        <v>4710</v>
      </c>
      <c r="AD116" s="18">
        <f t="shared" si="121"/>
        <v>4710</v>
      </c>
      <c r="AE116" s="18">
        <f t="shared" si="121"/>
        <v>4710</v>
      </c>
      <c r="AF116" s="18">
        <f t="shared" si="121"/>
        <v>4710</v>
      </c>
      <c r="AG116" s="18">
        <f t="shared" si="121"/>
        <v>4710</v>
      </c>
      <c r="AH116" s="18">
        <f t="shared" si="121"/>
        <v>4710</v>
      </c>
      <c r="AI116" s="18">
        <f t="shared" si="121"/>
        <v>4710</v>
      </c>
      <c r="AJ116" s="18">
        <f t="shared" si="121"/>
        <v>4710</v>
      </c>
      <c r="AK116" s="18">
        <f t="shared" si="121"/>
        <v>4710</v>
      </c>
      <c r="AL116" s="1"/>
      <c r="AM116" s="1"/>
    </row>
    <row r="117" spans="1:39" x14ac:dyDescent="0.25">
      <c r="A117" s="1"/>
      <c r="B117" s="1"/>
      <c r="C117" s="1"/>
      <c r="D117" s="7"/>
      <c r="E117" s="1"/>
      <c r="F117" s="6" t="str">
        <f>структура!$F$10</f>
        <v>хозяйственное ведение</v>
      </c>
      <c r="G117" s="1"/>
      <c r="H117" s="1" t="str">
        <f>H114</f>
        <v>тыс.руб.</v>
      </c>
      <c r="I117" s="1"/>
      <c r="J117" s="1"/>
      <c r="K117" s="1"/>
      <c r="L117" s="10"/>
      <c r="M117" s="18">
        <f>M13*M$112</f>
        <v>1920</v>
      </c>
      <c r="N117" s="18">
        <f t="shared" ref="N117:AK117" si="122">N13*N$112</f>
        <v>2040</v>
      </c>
      <c r="O117" s="18">
        <f t="shared" si="122"/>
        <v>2130</v>
      </c>
      <c r="P117" s="18">
        <f t="shared" si="122"/>
        <v>2130</v>
      </c>
      <c r="Q117" s="18">
        <f t="shared" si="122"/>
        <v>2190</v>
      </c>
      <c r="R117" s="18">
        <f t="shared" si="122"/>
        <v>2460</v>
      </c>
      <c r="S117" s="18">
        <f t="shared" si="122"/>
        <v>2490</v>
      </c>
      <c r="T117" s="18">
        <f t="shared" si="122"/>
        <v>2550</v>
      </c>
      <c r="U117" s="18">
        <f t="shared" si="122"/>
        <v>2670</v>
      </c>
      <c r="V117" s="18">
        <f t="shared" si="122"/>
        <v>2790</v>
      </c>
      <c r="W117" s="18">
        <f t="shared" si="122"/>
        <v>2820</v>
      </c>
      <c r="X117" s="18">
        <f t="shared" si="122"/>
        <v>2820</v>
      </c>
      <c r="Y117" s="18">
        <f t="shared" si="122"/>
        <v>2910</v>
      </c>
      <c r="Z117" s="18">
        <f t="shared" si="122"/>
        <v>2910</v>
      </c>
      <c r="AA117" s="18">
        <f t="shared" si="122"/>
        <v>2940</v>
      </c>
      <c r="AB117" s="18">
        <f t="shared" si="122"/>
        <v>3060</v>
      </c>
      <c r="AC117" s="18">
        <f t="shared" si="122"/>
        <v>3060</v>
      </c>
      <c r="AD117" s="18">
        <f t="shared" si="122"/>
        <v>3060</v>
      </c>
      <c r="AE117" s="18">
        <f t="shared" si="122"/>
        <v>3060</v>
      </c>
      <c r="AF117" s="18">
        <f t="shared" si="122"/>
        <v>3060</v>
      </c>
      <c r="AG117" s="18">
        <f t="shared" si="122"/>
        <v>3060</v>
      </c>
      <c r="AH117" s="18">
        <f t="shared" si="122"/>
        <v>3060</v>
      </c>
      <c r="AI117" s="18">
        <f t="shared" si="122"/>
        <v>3060</v>
      </c>
      <c r="AJ117" s="18">
        <f t="shared" si="122"/>
        <v>3060</v>
      </c>
      <c r="AK117" s="18">
        <f t="shared" si="122"/>
        <v>3060</v>
      </c>
      <c r="AL117" s="1"/>
      <c r="AM117" s="1"/>
    </row>
    <row r="118" spans="1:39" x14ac:dyDescent="0.25">
      <c r="A118" s="1"/>
      <c r="B118" s="1"/>
      <c r="C118" s="1"/>
      <c r="D118" s="7"/>
      <c r="E118" s="1"/>
      <c r="F118" s="1"/>
      <c r="G118" s="1"/>
      <c r="H118" s="1"/>
      <c r="I118" s="1"/>
      <c r="J118" s="1"/>
      <c r="K118" s="1"/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s="8" customFormat="1" x14ac:dyDescent="0.25">
      <c r="A119" s="7"/>
      <c r="B119" s="7"/>
      <c r="C119" s="7"/>
      <c r="D119" s="7" t="str">
        <f>структура!$D$18</f>
        <v>Списание на расходы</v>
      </c>
      <c r="E119" s="7"/>
      <c r="F119" s="7" t="str">
        <f>KPI!$F$34</f>
        <v>распределение списания материалов на расходы</v>
      </c>
      <c r="G119" s="7"/>
      <c r="H119" s="7" t="str">
        <f>INDEX(KPI!$H:$H,SUMIFS(KPI!$D:$D,KPI!$F:$F,$F119))</f>
        <v>%</v>
      </c>
      <c r="I119" s="7"/>
      <c r="J119" s="7"/>
      <c r="K119" s="7"/>
      <c r="L119" s="10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7"/>
      <c r="AM119" s="7"/>
    </row>
    <row r="120" spans="1:39" s="4" customFormat="1" ht="10.199999999999999" x14ac:dyDescent="0.2">
      <c r="A120" s="3"/>
      <c r="B120" s="3"/>
      <c r="C120" s="3"/>
      <c r="D120" s="9"/>
      <c r="E120" s="3"/>
      <c r="F120" s="5" t="str">
        <f>структура!$H$9</f>
        <v>в т.ч.</v>
      </c>
      <c r="G120" s="3"/>
      <c r="H120" s="3"/>
      <c r="I120" s="3"/>
      <c r="J120" s="3"/>
      <c r="K120" s="3"/>
      <c r="L120" s="1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1"/>
      <c r="B121" s="1"/>
      <c r="C121" s="1"/>
      <c r="D121" s="7"/>
      <c r="E121" s="1"/>
      <c r="F121" s="6" t="str">
        <f>структура!$F$9</f>
        <v>народный гараж</v>
      </c>
      <c r="G121" s="1"/>
      <c r="H121" s="1" t="str">
        <f>H119</f>
        <v>%</v>
      </c>
      <c r="I121" s="1"/>
      <c r="J121" s="1"/>
      <c r="K121" s="1"/>
      <c r="L121" s="10" t="s">
        <v>10</v>
      </c>
      <c r="M121" s="24">
        <v>0.5</v>
      </c>
      <c r="N121" s="24">
        <v>0.4</v>
      </c>
      <c r="O121" s="24">
        <v>0.1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5">
        <v>0</v>
      </c>
      <c r="AK121" s="26">
        <f>100%-SUM(M121:AJ121)</f>
        <v>0</v>
      </c>
      <c r="AL121" s="1"/>
      <c r="AM121" s="1"/>
    </row>
    <row r="122" spans="1:39" x14ac:dyDescent="0.25">
      <c r="A122" s="1"/>
      <c r="B122" s="1"/>
      <c r="C122" s="1"/>
      <c r="D122" s="7"/>
      <c r="E122" s="1"/>
      <c r="F122" s="6" t="str">
        <f>структура!$F$10</f>
        <v>хозяйственное ведение</v>
      </c>
      <c r="G122" s="1"/>
      <c r="H122" s="1" t="str">
        <f>H119</f>
        <v>%</v>
      </c>
      <c r="I122" s="1"/>
      <c r="J122" s="1"/>
      <c r="K122" s="1"/>
      <c r="L122" s="10" t="s">
        <v>10</v>
      </c>
      <c r="M122" s="24">
        <v>0.6</v>
      </c>
      <c r="N122" s="24">
        <v>0.4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5">
        <v>0</v>
      </c>
      <c r="AK122" s="26">
        <f>100%-SUM(M122:AJ122)</f>
        <v>0</v>
      </c>
      <c r="AL122" s="1"/>
      <c r="AM122" s="1"/>
    </row>
    <row r="123" spans="1:39" x14ac:dyDescent="0.25">
      <c r="A123" s="1"/>
      <c r="B123" s="1"/>
      <c r="C123" s="1"/>
      <c r="D123" s="7"/>
      <c r="E123" s="1"/>
      <c r="F123" s="1"/>
      <c r="G123" s="1"/>
      <c r="H123" s="1"/>
      <c r="I123" s="1"/>
      <c r="J123" s="1"/>
      <c r="K123" s="1"/>
      <c r="L123" s="1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8" customFormat="1" x14ac:dyDescent="0.25">
      <c r="A124" s="7"/>
      <c r="B124" s="7"/>
      <c r="C124" s="7"/>
      <c r="D124" s="7"/>
      <c r="E124" s="7"/>
      <c r="F124" s="7" t="str">
        <f>KPI!$F$35</f>
        <v>обратное распр-ние списания материалов на расходы</v>
      </c>
      <c r="G124" s="7"/>
      <c r="H124" s="7" t="str">
        <f>INDEX(KPI!$H:$H,SUMIFS(KPI!$D:$D,KPI!$F:$F,$F124))</f>
        <v>%</v>
      </c>
      <c r="I124" s="7"/>
      <c r="J124" s="7"/>
      <c r="K124" s="7"/>
      <c r="L124" s="10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7"/>
      <c r="AM124" s="7"/>
    </row>
    <row r="125" spans="1:39" s="4" customFormat="1" ht="10.199999999999999" x14ac:dyDescent="0.2">
      <c r="A125" s="3"/>
      <c r="B125" s="3"/>
      <c r="C125" s="3"/>
      <c r="D125" s="9"/>
      <c r="E125" s="3"/>
      <c r="F125" s="5" t="str">
        <f>структура!$H$9</f>
        <v>в т.ч.</v>
      </c>
      <c r="G125" s="3"/>
      <c r="H125" s="3"/>
      <c r="I125" s="3"/>
      <c r="J125" s="3"/>
      <c r="K125" s="3"/>
      <c r="L125" s="1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1"/>
      <c r="B126" s="1"/>
      <c r="C126" s="1"/>
      <c r="D126" s="7"/>
      <c r="E126" s="1"/>
      <c r="F126" s="6" t="str">
        <f>структура!$F$9</f>
        <v>народный гараж</v>
      </c>
      <c r="G126" s="1"/>
      <c r="H126" s="1" t="str">
        <f>H124</f>
        <v>%</v>
      </c>
      <c r="I126" s="1"/>
      <c r="J126" s="1"/>
      <c r="K126" s="1"/>
      <c r="L126" s="10"/>
      <c r="M126" s="23">
        <f t="shared" ref="M126:AK126" si="123">SUMIFS(121:121,$1:$1,M$2)</f>
        <v>0</v>
      </c>
      <c r="N126" s="23">
        <f t="shared" si="123"/>
        <v>0</v>
      </c>
      <c r="O126" s="23">
        <f t="shared" si="123"/>
        <v>0</v>
      </c>
      <c r="P126" s="23">
        <f t="shared" si="123"/>
        <v>0</v>
      </c>
      <c r="Q126" s="23">
        <f t="shared" si="123"/>
        <v>0</v>
      </c>
      <c r="R126" s="23">
        <f t="shared" si="123"/>
        <v>0</v>
      </c>
      <c r="S126" s="23">
        <f t="shared" si="123"/>
        <v>0</v>
      </c>
      <c r="T126" s="23">
        <f t="shared" si="123"/>
        <v>0</v>
      </c>
      <c r="U126" s="23">
        <f t="shared" si="123"/>
        <v>0</v>
      </c>
      <c r="V126" s="23">
        <f t="shared" si="123"/>
        <v>0</v>
      </c>
      <c r="W126" s="23">
        <f t="shared" si="123"/>
        <v>0</v>
      </c>
      <c r="X126" s="23">
        <f t="shared" si="123"/>
        <v>0</v>
      </c>
      <c r="Y126" s="23">
        <f t="shared" si="123"/>
        <v>0</v>
      </c>
      <c r="Z126" s="23">
        <f t="shared" si="123"/>
        <v>0</v>
      </c>
      <c r="AA126" s="23">
        <f t="shared" si="123"/>
        <v>0</v>
      </c>
      <c r="AB126" s="23">
        <f t="shared" si="123"/>
        <v>0</v>
      </c>
      <c r="AC126" s="23">
        <f t="shared" si="123"/>
        <v>0</v>
      </c>
      <c r="AD126" s="23">
        <f t="shared" si="123"/>
        <v>0</v>
      </c>
      <c r="AE126" s="23">
        <f t="shared" si="123"/>
        <v>0</v>
      </c>
      <c r="AF126" s="23">
        <f t="shared" si="123"/>
        <v>0</v>
      </c>
      <c r="AG126" s="23">
        <f t="shared" si="123"/>
        <v>0</v>
      </c>
      <c r="AH126" s="23">
        <f t="shared" si="123"/>
        <v>0</v>
      </c>
      <c r="AI126" s="23">
        <f t="shared" si="123"/>
        <v>0.1</v>
      </c>
      <c r="AJ126" s="23">
        <f t="shared" si="123"/>
        <v>0.4</v>
      </c>
      <c r="AK126" s="23">
        <f t="shared" si="123"/>
        <v>0.5</v>
      </c>
      <c r="AL126" s="1"/>
      <c r="AM126" s="1"/>
    </row>
    <row r="127" spans="1:39" x14ac:dyDescent="0.25">
      <c r="A127" s="1"/>
      <c r="B127" s="1"/>
      <c r="C127" s="1"/>
      <c r="D127" s="7"/>
      <c r="E127" s="1"/>
      <c r="F127" s="6" t="str">
        <f>структура!$F$10</f>
        <v>хозяйственное ведение</v>
      </c>
      <c r="G127" s="1"/>
      <c r="H127" s="1" t="str">
        <f>H124</f>
        <v>%</v>
      </c>
      <c r="I127" s="1"/>
      <c r="J127" s="1"/>
      <c r="K127" s="1"/>
      <c r="L127" s="10"/>
      <c r="M127" s="23">
        <f t="shared" ref="M127:AK127" si="124">SUMIFS(122:122,$1:$1,M$2)</f>
        <v>0</v>
      </c>
      <c r="N127" s="23">
        <f t="shared" si="124"/>
        <v>0</v>
      </c>
      <c r="O127" s="23">
        <f t="shared" si="124"/>
        <v>0</v>
      </c>
      <c r="P127" s="23">
        <f t="shared" si="124"/>
        <v>0</v>
      </c>
      <c r="Q127" s="23">
        <f t="shared" si="124"/>
        <v>0</v>
      </c>
      <c r="R127" s="23">
        <f t="shared" si="124"/>
        <v>0</v>
      </c>
      <c r="S127" s="23">
        <f t="shared" si="124"/>
        <v>0</v>
      </c>
      <c r="T127" s="23">
        <f t="shared" si="124"/>
        <v>0</v>
      </c>
      <c r="U127" s="23">
        <f t="shared" si="124"/>
        <v>0</v>
      </c>
      <c r="V127" s="23">
        <f t="shared" si="124"/>
        <v>0</v>
      </c>
      <c r="W127" s="23">
        <f t="shared" si="124"/>
        <v>0</v>
      </c>
      <c r="X127" s="23">
        <f t="shared" si="124"/>
        <v>0</v>
      </c>
      <c r="Y127" s="23">
        <f t="shared" si="124"/>
        <v>0</v>
      </c>
      <c r="Z127" s="23">
        <f t="shared" si="124"/>
        <v>0</v>
      </c>
      <c r="AA127" s="23">
        <f t="shared" si="124"/>
        <v>0</v>
      </c>
      <c r="AB127" s="23">
        <f t="shared" si="124"/>
        <v>0</v>
      </c>
      <c r="AC127" s="23">
        <f t="shared" si="124"/>
        <v>0</v>
      </c>
      <c r="AD127" s="23">
        <f t="shared" si="124"/>
        <v>0</v>
      </c>
      <c r="AE127" s="23">
        <f t="shared" si="124"/>
        <v>0</v>
      </c>
      <c r="AF127" s="23">
        <f t="shared" si="124"/>
        <v>0</v>
      </c>
      <c r="AG127" s="23">
        <f t="shared" si="124"/>
        <v>0</v>
      </c>
      <c r="AH127" s="23">
        <f t="shared" si="124"/>
        <v>0</v>
      </c>
      <c r="AI127" s="23">
        <f t="shared" si="124"/>
        <v>0</v>
      </c>
      <c r="AJ127" s="23">
        <f t="shared" si="124"/>
        <v>0.4</v>
      </c>
      <c r="AK127" s="23">
        <f t="shared" si="124"/>
        <v>0.6</v>
      </c>
      <c r="AL127" s="1"/>
      <c r="AM127" s="1"/>
    </row>
    <row r="128" spans="1:39" x14ac:dyDescent="0.25">
      <c r="A128" s="1"/>
      <c r="B128" s="1"/>
      <c r="C128" s="1"/>
      <c r="D128" s="7"/>
      <c r="E128" s="1"/>
      <c r="F128" s="1"/>
      <c r="G128" s="1"/>
      <c r="H128" s="1"/>
      <c r="I128" s="1"/>
      <c r="J128" s="1"/>
      <c r="K128" s="1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s="8" customFormat="1" x14ac:dyDescent="0.25">
      <c r="A129" s="7"/>
      <c r="B129" s="7"/>
      <c r="C129" s="7"/>
      <c r="D129" s="7"/>
      <c r="E129" s="7"/>
      <c r="F129" s="7" t="str">
        <f>KPI!$F$36</f>
        <v>материалы в составе эксплуатационных расходов</v>
      </c>
      <c r="G129" s="7"/>
      <c r="H129" s="7" t="str">
        <f>INDEX(KPI!$H:$H,SUMIFS(KPI!$D:$D,KPI!$F:$F,$F129))</f>
        <v>тыс.руб.</v>
      </c>
      <c r="I129" s="7"/>
      <c r="J129" s="7"/>
      <c r="K129" s="7"/>
      <c r="L129" s="10"/>
      <c r="M129" s="17">
        <f>SUM(M130:M132)</f>
        <v>2532</v>
      </c>
      <c r="N129" s="17">
        <f t="shared" ref="N129:AK129" si="125">SUM(N130:N132)</f>
        <v>4551</v>
      </c>
      <c r="O129" s="17">
        <f t="shared" si="125"/>
        <v>5064</v>
      </c>
      <c r="P129" s="17">
        <f t="shared" si="125"/>
        <v>5190</v>
      </c>
      <c r="Q129" s="17">
        <f t="shared" si="125"/>
        <v>5343</v>
      </c>
      <c r="R129" s="17">
        <f t="shared" si="125"/>
        <v>5619</v>
      </c>
      <c r="S129" s="17">
        <f t="shared" si="125"/>
        <v>5895</v>
      </c>
      <c r="T129" s="17">
        <f t="shared" si="125"/>
        <v>6132</v>
      </c>
      <c r="U129" s="17">
        <f t="shared" si="125"/>
        <v>6429</v>
      </c>
      <c r="V129" s="17">
        <f t="shared" si="125"/>
        <v>6816</v>
      </c>
      <c r="W129" s="17">
        <f t="shared" si="125"/>
        <v>7095</v>
      </c>
      <c r="X129" s="17">
        <f t="shared" si="125"/>
        <v>7188</v>
      </c>
      <c r="Y129" s="17">
        <f t="shared" si="125"/>
        <v>7284</v>
      </c>
      <c r="Z129" s="17">
        <f t="shared" si="125"/>
        <v>7344</v>
      </c>
      <c r="AA129" s="17">
        <f t="shared" si="125"/>
        <v>7413</v>
      </c>
      <c r="AB129" s="17">
        <f t="shared" si="125"/>
        <v>7623</v>
      </c>
      <c r="AC129" s="17">
        <f t="shared" si="125"/>
        <v>7752</v>
      </c>
      <c r="AD129" s="17">
        <f t="shared" si="125"/>
        <v>7770</v>
      </c>
      <c r="AE129" s="17">
        <f t="shared" si="125"/>
        <v>7770</v>
      </c>
      <c r="AF129" s="17">
        <f t="shared" si="125"/>
        <v>7770</v>
      </c>
      <c r="AG129" s="17">
        <f t="shared" si="125"/>
        <v>7770</v>
      </c>
      <c r="AH129" s="17">
        <f t="shared" si="125"/>
        <v>7770</v>
      </c>
      <c r="AI129" s="17">
        <f t="shared" si="125"/>
        <v>7770</v>
      </c>
      <c r="AJ129" s="17">
        <f t="shared" si="125"/>
        <v>7770</v>
      </c>
      <c r="AK129" s="17">
        <f t="shared" si="125"/>
        <v>7770</v>
      </c>
      <c r="AL129" s="7"/>
      <c r="AM129" s="7"/>
    </row>
    <row r="130" spans="1:39" s="4" customFormat="1" ht="10.199999999999999" x14ac:dyDescent="0.2">
      <c r="A130" s="3"/>
      <c r="B130" s="3"/>
      <c r="C130" s="3"/>
      <c r="D130" s="9"/>
      <c r="E130" s="3"/>
      <c r="F130" s="5" t="str">
        <f>структура!$H$9</f>
        <v>в т.ч.</v>
      </c>
      <c r="G130" s="3"/>
      <c r="H130" s="3"/>
      <c r="I130" s="3"/>
      <c r="J130" s="3"/>
      <c r="K130" s="3"/>
      <c r="L130" s="1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1"/>
      <c r="B131" s="1"/>
      <c r="C131" s="1"/>
      <c r="D131" s="7"/>
      <c r="E131" s="1"/>
      <c r="F131" s="6" t="str">
        <f>структура!$F$9</f>
        <v>народный гараж</v>
      </c>
      <c r="G131" s="1"/>
      <c r="H131" s="1" t="str">
        <f>H129</f>
        <v>тыс.руб.</v>
      </c>
      <c r="I131" s="1"/>
      <c r="J131" s="1"/>
      <c r="K131" s="1"/>
      <c r="L131" s="10"/>
      <c r="M131" s="18">
        <f>SUMPRODUCT(M116:M116,AK126)</f>
        <v>1380</v>
      </c>
      <c r="N131" s="18">
        <f>SUMPRODUCT(M116:N116,AJ126:AK126)</f>
        <v>2559</v>
      </c>
      <c r="O131" s="18">
        <f>SUMPRODUCT(M116:O116,AI126:AK126)</f>
        <v>2970</v>
      </c>
      <c r="P131" s="18">
        <f>SUMPRODUCT(M116:P116,AH126:AK126)</f>
        <v>3060</v>
      </c>
      <c r="Q131" s="18">
        <f>SUMPRODUCT(M116:Q116,AG126:AK126)</f>
        <v>3177</v>
      </c>
      <c r="R131" s="18">
        <f>SUMPRODUCT(M116:R116,AF126:AK126)</f>
        <v>3267</v>
      </c>
      <c r="S131" s="18">
        <f>SUMPRODUCT(M116:S116,AE126:AK126)</f>
        <v>3417</v>
      </c>
      <c r="T131" s="18">
        <f>SUMPRODUCT(M116:T116,AD126:AK126)</f>
        <v>3606</v>
      </c>
      <c r="U131" s="18">
        <f>SUMPRODUCT(M116:U116,AC126:AK126)</f>
        <v>3807</v>
      </c>
      <c r="V131" s="18">
        <f>SUMPRODUCT(M116:V116,AB126:AK126)</f>
        <v>4074</v>
      </c>
      <c r="W131" s="18">
        <f>SUMPRODUCT(M116:W116,AA126:AK126)</f>
        <v>4287</v>
      </c>
      <c r="X131" s="18">
        <f>SUMPRODUCT(M116:X116,Z126:AK126)</f>
        <v>4368</v>
      </c>
      <c r="Y131" s="18">
        <f>SUMPRODUCT(M116:Y116,Y126:AK126)</f>
        <v>4410</v>
      </c>
      <c r="Z131" s="18">
        <f>SUMPRODUCT(M116:Z116,X126:AK126)</f>
        <v>4434</v>
      </c>
      <c r="AA131" s="18">
        <f>SUMPRODUCT(M116:AA116,W126:AK126)</f>
        <v>4485</v>
      </c>
      <c r="AB131" s="18">
        <f>SUMPRODUCT(M116:AB116,V126:AK126)</f>
        <v>4611</v>
      </c>
      <c r="AC131" s="18">
        <f>SUMPRODUCT(M116:AC116,U126:AK126)</f>
        <v>4692</v>
      </c>
      <c r="AD131" s="18">
        <f>SUMPRODUCT(M116:AD116,T126:AK126)</f>
        <v>4710</v>
      </c>
      <c r="AE131" s="18">
        <f>SUMPRODUCT(M116:AE116,S126:AK126)</f>
        <v>4710</v>
      </c>
      <c r="AF131" s="18">
        <f>SUMPRODUCT(M116:AF116,R126:AK126)</f>
        <v>4710</v>
      </c>
      <c r="AG131" s="18">
        <f>SUMPRODUCT(M116:AG116,Q126:AK126)</f>
        <v>4710</v>
      </c>
      <c r="AH131" s="18">
        <f>SUMPRODUCT(M116:AH116,P126:AK126)</f>
        <v>4710</v>
      </c>
      <c r="AI131" s="18">
        <f>SUMPRODUCT(M116:AI116,O126:AK126)</f>
        <v>4710</v>
      </c>
      <c r="AJ131" s="18">
        <f>SUMPRODUCT(M116:AJ116,N126:AK126)</f>
        <v>4710</v>
      </c>
      <c r="AK131" s="18">
        <f>SUMPRODUCT(M116:AK116,M126:AK126)</f>
        <v>4710</v>
      </c>
      <c r="AL131" s="1"/>
      <c r="AM131" s="1"/>
    </row>
    <row r="132" spans="1:39" x14ac:dyDescent="0.25">
      <c r="A132" s="1"/>
      <c r="B132" s="1"/>
      <c r="C132" s="1"/>
      <c r="D132" s="7"/>
      <c r="E132" s="1"/>
      <c r="F132" s="6" t="str">
        <f>структура!$F$10</f>
        <v>хозяйственное ведение</v>
      </c>
      <c r="G132" s="1"/>
      <c r="H132" s="1" t="str">
        <f>H129</f>
        <v>тыс.руб.</v>
      </c>
      <c r="I132" s="1"/>
      <c r="J132" s="1"/>
      <c r="K132" s="1"/>
      <c r="L132" s="10"/>
      <c r="M132" s="18">
        <f>SUMPRODUCT(M117:M117,AK127)</f>
        <v>1152</v>
      </c>
      <c r="N132" s="18">
        <f>SUMPRODUCT(M117:N117,AJ127:AK127)</f>
        <v>1992</v>
      </c>
      <c r="O132" s="18">
        <f>SUMPRODUCT(M117:O117,AI127:AK127)</f>
        <v>2094</v>
      </c>
      <c r="P132" s="18">
        <f>SUMPRODUCT(M117:P117,AH127:AK127)</f>
        <v>2130</v>
      </c>
      <c r="Q132" s="18">
        <f>SUMPRODUCT(M117:Q117,AG127:AK127)</f>
        <v>2166</v>
      </c>
      <c r="R132" s="18">
        <f>SUMPRODUCT(M117:R117,AF127:AK127)</f>
        <v>2352</v>
      </c>
      <c r="S132" s="18">
        <f>SUMPRODUCT(M117:S117,AE127:AK127)</f>
        <v>2478</v>
      </c>
      <c r="T132" s="18">
        <f>SUMPRODUCT(M117:T117,AD127:AK127)</f>
        <v>2526</v>
      </c>
      <c r="U132" s="18">
        <f>SUMPRODUCT(M117:U117,AC127:AK127)</f>
        <v>2622</v>
      </c>
      <c r="V132" s="18">
        <f>SUMPRODUCT(M117:V117,AB127:AK127)</f>
        <v>2742</v>
      </c>
      <c r="W132" s="18">
        <f>SUMPRODUCT(M117:W117,AA127:AK127)</f>
        <v>2808</v>
      </c>
      <c r="X132" s="18">
        <f>SUMPRODUCT(M117:X117,Z127:AK127)</f>
        <v>2820</v>
      </c>
      <c r="Y132" s="18">
        <f>SUMPRODUCT(M117:Y117,Y127:AK127)</f>
        <v>2874</v>
      </c>
      <c r="Z132" s="18">
        <f>SUMPRODUCT(M117:Z117,X127:AK127)</f>
        <v>2910</v>
      </c>
      <c r="AA132" s="18">
        <f>SUMPRODUCT(M117:AA117,W127:AK127)</f>
        <v>2928</v>
      </c>
      <c r="AB132" s="18">
        <f>SUMPRODUCT(M117:AB117,V127:AK127)</f>
        <v>3012</v>
      </c>
      <c r="AC132" s="18">
        <f>SUMPRODUCT(M117:AC117,U127:AK127)</f>
        <v>3060</v>
      </c>
      <c r="AD132" s="18">
        <f>SUMPRODUCT(M117:AD117,T127:AK127)</f>
        <v>3060</v>
      </c>
      <c r="AE132" s="18">
        <f>SUMPRODUCT(M117:AE117,S127:AK127)</f>
        <v>3060</v>
      </c>
      <c r="AF132" s="18">
        <f>SUMPRODUCT(M117:AF117,R127:AK127)</f>
        <v>3060</v>
      </c>
      <c r="AG132" s="18">
        <f>SUMPRODUCT(M117:AG117,Q127:AK127)</f>
        <v>3060</v>
      </c>
      <c r="AH132" s="18">
        <f>SUMPRODUCT(M117:AH117,P127:AK127)</f>
        <v>3060</v>
      </c>
      <c r="AI132" s="18">
        <f>SUMPRODUCT(M117:AI117,O127:AK127)</f>
        <v>3060</v>
      </c>
      <c r="AJ132" s="18">
        <f>SUMPRODUCT(M117:AJ117,N127:AK127)</f>
        <v>3060</v>
      </c>
      <c r="AK132" s="18">
        <f>SUMPRODUCT(M117:AK117,M127:AK127)</f>
        <v>3060</v>
      </c>
      <c r="AL132" s="1"/>
      <c r="AM132" s="1"/>
    </row>
    <row r="133" spans="1:39" x14ac:dyDescent="0.25">
      <c r="A133" s="1"/>
      <c r="B133" s="1"/>
      <c r="C133" s="1"/>
      <c r="D133" s="7"/>
      <c r="E133" s="1"/>
      <c r="F133" s="1"/>
      <c r="G133" s="1"/>
      <c r="H133" s="1"/>
      <c r="I133" s="1"/>
      <c r="J133" s="1"/>
      <c r="K133" s="1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s="8" customFormat="1" x14ac:dyDescent="0.25">
      <c r="A134" s="7"/>
      <c r="B134" s="7"/>
      <c r="C134" s="7"/>
      <c r="D134" s="7"/>
      <c r="E134" s="7"/>
      <c r="F134" s="7" t="str">
        <f>KPI!$F$37</f>
        <v>процент работ от материалов</v>
      </c>
      <c r="G134" s="7"/>
      <c r="H134" s="7" t="str">
        <f>INDEX(KPI!$H:$H,SUMIFS(KPI!$D:$D,KPI!$F:$F,$F134))</f>
        <v>%</v>
      </c>
      <c r="I134" s="7"/>
      <c r="J134" s="7"/>
      <c r="K134" s="7"/>
      <c r="L134" s="10" t="s">
        <v>10</v>
      </c>
      <c r="M134" s="24">
        <v>0.8</v>
      </c>
      <c r="N134" s="24">
        <v>0.8</v>
      </c>
      <c r="O134" s="24">
        <v>0.8</v>
      </c>
      <c r="P134" s="24">
        <v>0.8</v>
      </c>
      <c r="Q134" s="24">
        <v>0.8</v>
      </c>
      <c r="R134" s="24">
        <v>0.8</v>
      </c>
      <c r="S134" s="24">
        <v>0.8</v>
      </c>
      <c r="T134" s="24">
        <v>0.8</v>
      </c>
      <c r="U134" s="24">
        <v>0.8</v>
      </c>
      <c r="V134" s="24">
        <v>0.8</v>
      </c>
      <c r="W134" s="24">
        <v>0.8</v>
      </c>
      <c r="X134" s="24">
        <v>0.8</v>
      </c>
      <c r="Y134" s="24">
        <v>0.8</v>
      </c>
      <c r="Z134" s="24">
        <v>0.8</v>
      </c>
      <c r="AA134" s="24">
        <v>0.8</v>
      </c>
      <c r="AB134" s="24">
        <v>0.8</v>
      </c>
      <c r="AC134" s="24">
        <v>0.8</v>
      </c>
      <c r="AD134" s="24">
        <v>0.8</v>
      </c>
      <c r="AE134" s="24">
        <v>0.8</v>
      </c>
      <c r="AF134" s="24">
        <v>0.8</v>
      </c>
      <c r="AG134" s="24">
        <v>0.8</v>
      </c>
      <c r="AH134" s="24">
        <v>0.8</v>
      </c>
      <c r="AI134" s="24">
        <v>0.8</v>
      </c>
      <c r="AJ134" s="24">
        <v>0.8</v>
      </c>
      <c r="AK134" s="24">
        <v>0.8</v>
      </c>
      <c r="AL134" s="7"/>
      <c r="AM134" s="7"/>
    </row>
    <row r="135" spans="1:39" x14ac:dyDescent="0.25">
      <c r="A135" s="1"/>
      <c r="B135" s="1"/>
      <c r="C135" s="1"/>
      <c r="D135" s="7"/>
      <c r="E135" s="1"/>
      <c r="F135" s="1"/>
      <c r="G135" s="1"/>
      <c r="H135" s="1"/>
      <c r="I135" s="1"/>
      <c r="J135" s="1"/>
      <c r="K135" s="1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s="8" customFormat="1" x14ac:dyDescent="0.25">
      <c r="A136" s="7"/>
      <c r="B136" s="7"/>
      <c r="C136" s="7"/>
      <c r="D136" s="7"/>
      <c r="E136" s="7"/>
      <c r="F136" s="7" t="str">
        <f>KPI!$F$38</f>
        <v>незавершенные работы</v>
      </c>
      <c r="G136" s="7"/>
      <c r="H136" s="7" t="str">
        <f>INDEX(KPI!$H:$H,SUMIFS(KPI!$D:$D,KPI!$F:$F,$F136))</f>
        <v>тыс.руб.</v>
      </c>
      <c r="I136" s="7"/>
      <c r="J136" s="7"/>
      <c r="K136" s="7"/>
      <c r="L136" s="10"/>
      <c r="M136" s="17">
        <f>SUM(M137:M139)</f>
        <v>3744</v>
      </c>
      <c r="N136" s="17">
        <f t="shared" ref="N136:AK136" si="126">SUM(N137:N139)</f>
        <v>3960</v>
      </c>
      <c r="O136" s="17">
        <f t="shared" si="126"/>
        <v>4152</v>
      </c>
      <c r="P136" s="17">
        <f t="shared" si="126"/>
        <v>4176</v>
      </c>
      <c r="Q136" s="17">
        <f t="shared" si="126"/>
        <v>4368</v>
      </c>
      <c r="R136" s="17">
        <f t="shared" si="126"/>
        <v>4608</v>
      </c>
      <c r="S136" s="17">
        <f t="shared" si="126"/>
        <v>4824</v>
      </c>
      <c r="T136" s="17">
        <f t="shared" si="126"/>
        <v>5016</v>
      </c>
      <c r="U136" s="17">
        <f t="shared" si="126"/>
        <v>5280</v>
      </c>
      <c r="V136" s="17">
        <f t="shared" si="126"/>
        <v>5640</v>
      </c>
      <c r="W136" s="17">
        <f t="shared" si="126"/>
        <v>5760</v>
      </c>
      <c r="X136" s="17">
        <f t="shared" si="126"/>
        <v>5760</v>
      </c>
      <c r="Y136" s="17">
        <f t="shared" si="126"/>
        <v>5880</v>
      </c>
      <c r="Z136" s="17">
        <f t="shared" si="126"/>
        <v>5880</v>
      </c>
      <c r="AA136" s="17">
        <f t="shared" si="126"/>
        <v>5976</v>
      </c>
      <c r="AB136" s="17">
        <f t="shared" si="126"/>
        <v>6216</v>
      </c>
      <c r="AC136" s="17">
        <f t="shared" si="126"/>
        <v>6216</v>
      </c>
      <c r="AD136" s="17">
        <f t="shared" si="126"/>
        <v>6216</v>
      </c>
      <c r="AE136" s="17">
        <f t="shared" si="126"/>
        <v>6216</v>
      </c>
      <c r="AF136" s="17">
        <f t="shared" si="126"/>
        <v>6216</v>
      </c>
      <c r="AG136" s="17">
        <f t="shared" si="126"/>
        <v>6216</v>
      </c>
      <c r="AH136" s="17">
        <f t="shared" si="126"/>
        <v>6216</v>
      </c>
      <c r="AI136" s="17">
        <f t="shared" si="126"/>
        <v>6216</v>
      </c>
      <c r="AJ136" s="17">
        <f t="shared" si="126"/>
        <v>6216</v>
      </c>
      <c r="AK136" s="17">
        <f t="shared" si="126"/>
        <v>6216</v>
      </c>
      <c r="AL136" s="7"/>
      <c r="AM136" s="7"/>
    </row>
    <row r="137" spans="1:39" s="4" customFormat="1" ht="10.199999999999999" x14ac:dyDescent="0.2">
      <c r="A137" s="3"/>
      <c r="B137" s="3"/>
      <c r="C137" s="3"/>
      <c r="D137" s="9"/>
      <c r="E137" s="3"/>
      <c r="F137" s="5" t="str">
        <f>структура!$H$9</f>
        <v>в т.ч.</v>
      </c>
      <c r="G137" s="3"/>
      <c r="H137" s="3"/>
      <c r="I137" s="3"/>
      <c r="J137" s="3"/>
      <c r="K137" s="3"/>
      <c r="L137" s="1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1"/>
      <c r="B138" s="1"/>
      <c r="C138" s="1"/>
      <c r="D138" s="7"/>
      <c r="E138" s="1"/>
      <c r="F138" s="6" t="str">
        <f>структура!$F$9</f>
        <v>народный гараж</v>
      </c>
      <c r="G138" s="1"/>
      <c r="H138" s="1" t="str">
        <f>H136</f>
        <v>тыс.руб.</v>
      </c>
      <c r="I138" s="1"/>
      <c r="J138" s="1"/>
      <c r="K138" s="1"/>
      <c r="L138" s="10"/>
      <c r="M138" s="18">
        <f>M116*M$134</f>
        <v>2208</v>
      </c>
      <c r="N138" s="18">
        <f t="shared" ref="N138:AK138" si="127">N116*N$134</f>
        <v>2328</v>
      </c>
      <c r="O138" s="18">
        <f t="shared" si="127"/>
        <v>2448</v>
      </c>
      <c r="P138" s="18">
        <f t="shared" si="127"/>
        <v>2472</v>
      </c>
      <c r="Q138" s="18">
        <f t="shared" si="127"/>
        <v>2616</v>
      </c>
      <c r="R138" s="18">
        <f t="shared" si="127"/>
        <v>2640</v>
      </c>
      <c r="S138" s="18">
        <f t="shared" si="127"/>
        <v>2832</v>
      </c>
      <c r="T138" s="18">
        <f t="shared" si="127"/>
        <v>2976</v>
      </c>
      <c r="U138" s="18">
        <f t="shared" si="127"/>
        <v>3144</v>
      </c>
      <c r="V138" s="18">
        <f t="shared" si="127"/>
        <v>3408</v>
      </c>
      <c r="W138" s="18">
        <f t="shared" si="127"/>
        <v>3504</v>
      </c>
      <c r="X138" s="18">
        <f t="shared" si="127"/>
        <v>3504</v>
      </c>
      <c r="Y138" s="18">
        <f t="shared" si="127"/>
        <v>3552</v>
      </c>
      <c r="Z138" s="18">
        <f t="shared" si="127"/>
        <v>3552</v>
      </c>
      <c r="AA138" s="18">
        <f t="shared" si="127"/>
        <v>3624</v>
      </c>
      <c r="AB138" s="18">
        <f t="shared" si="127"/>
        <v>3768</v>
      </c>
      <c r="AC138" s="18">
        <f t="shared" si="127"/>
        <v>3768</v>
      </c>
      <c r="AD138" s="18">
        <f t="shared" si="127"/>
        <v>3768</v>
      </c>
      <c r="AE138" s="18">
        <f t="shared" si="127"/>
        <v>3768</v>
      </c>
      <c r="AF138" s="18">
        <f t="shared" si="127"/>
        <v>3768</v>
      </c>
      <c r="AG138" s="18">
        <f t="shared" si="127"/>
        <v>3768</v>
      </c>
      <c r="AH138" s="18">
        <f t="shared" si="127"/>
        <v>3768</v>
      </c>
      <c r="AI138" s="18">
        <f t="shared" si="127"/>
        <v>3768</v>
      </c>
      <c r="AJ138" s="18">
        <f t="shared" si="127"/>
        <v>3768</v>
      </c>
      <c r="AK138" s="18">
        <f t="shared" si="127"/>
        <v>3768</v>
      </c>
      <c r="AL138" s="1"/>
      <c r="AM138" s="1"/>
    </row>
    <row r="139" spans="1:39" x14ac:dyDescent="0.25">
      <c r="A139" s="1"/>
      <c r="B139" s="1"/>
      <c r="C139" s="1"/>
      <c r="D139" s="7"/>
      <c r="E139" s="1"/>
      <c r="F139" s="6" t="str">
        <f>структура!$F$10</f>
        <v>хозяйственное ведение</v>
      </c>
      <c r="G139" s="1"/>
      <c r="H139" s="1" t="str">
        <f>H136</f>
        <v>тыс.руб.</v>
      </c>
      <c r="I139" s="1"/>
      <c r="J139" s="1"/>
      <c r="K139" s="1"/>
      <c r="L139" s="10"/>
      <c r="M139" s="18">
        <f>M117*M$134</f>
        <v>1536</v>
      </c>
      <c r="N139" s="18">
        <f t="shared" ref="N139:AK139" si="128">N117*N$134</f>
        <v>1632</v>
      </c>
      <c r="O139" s="18">
        <f t="shared" si="128"/>
        <v>1704</v>
      </c>
      <c r="P139" s="18">
        <f t="shared" si="128"/>
        <v>1704</v>
      </c>
      <c r="Q139" s="18">
        <f t="shared" si="128"/>
        <v>1752</v>
      </c>
      <c r="R139" s="18">
        <f t="shared" si="128"/>
        <v>1968</v>
      </c>
      <c r="S139" s="18">
        <f t="shared" si="128"/>
        <v>1992</v>
      </c>
      <c r="T139" s="18">
        <f t="shared" si="128"/>
        <v>2040</v>
      </c>
      <c r="U139" s="18">
        <f t="shared" si="128"/>
        <v>2136</v>
      </c>
      <c r="V139" s="18">
        <f t="shared" si="128"/>
        <v>2232</v>
      </c>
      <c r="W139" s="18">
        <f t="shared" si="128"/>
        <v>2256</v>
      </c>
      <c r="X139" s="18">
        <f t="shared" si="128"/>
        <v>2256</v>
      </c>
      <c r="Y139" s="18">
        <f t="shared" si="128"/>
        <v>2328</v>
      </c>
      <c r="Z139" s="18">
        <f t="shared" si="128"/>
        <v>2328</v>
      </c>
      <c r="AA139" s="18">
        <f t="shared" si="128"/>
        <v>2352</v>
      </c>
      <c r="AB139" s="18">
        <f t="shared" si="128"/>
        <v>2448</v>
      </c>
      <c r="AC139" s="18">
        <f t="shared" si="128"/>
        <v>2448</v>
      </c>
      <c r="AD139" s="18">
        <f t="shared" si="128"/>
        <v>2448</v>
      </c>
      <c r="AE139" s="18">
        <f t="shared" si="128"/>
        <v>2448</v>
      </c>
      <c r="AF139" s="18">
        <f t="shared" si="128"/>
        <v>2448</v>
      </c>
      <c r="AG139" s="18">
        <f t="shared" si="128"/>
        <v>2448</v>
      </c>
      <c r="AH139" s="18">
        <f t="shared" si="128"/>
        <v>2448</v>
      </c>
      <c r="AI139" s="18">
        <f t="shared" si="128"/>
        <v>2448</v>
      </c>
      <c r="AJ139" s="18">
        <f t="shared" si="128"/>
        <v>2448</v>
      </c>
      <c r="AK139" s="18">
        <f t="shared" si="128"/>
        <v>2448</v>
      </c>
      <c r="AL139" s="1"/>
      <c r="AM139" s="1"/>
    </row>
    <row r="140" spans="1:39" x14ac:dyDescent="0.25">
      <c r="A140" s="1"/>
      <c r="B140" s="1"/>
      <c r="C140" s="1"/>
      <c r="D140" s="7"/>
      <c r="E140" s="1"/>
      <c r="F140" s="1"/>
      <c r="G140" s="1"/>
      <c r="H140" s="1"/>
      <c r="I140" s="1"/>
      <c r="J140" s="1"/>
      <c r="K140" s="1"/>
      <c r="L140" s="1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s="8" customFormat="1" x14ac:dyDescent="0.25">
      <c r="A141" s="7"/>
      <c r="B141" s="7"/>
      <c r="C141" s="7"/>
      <c r="D141" s="7" t="str">
        <f>структура!$D$18</f>
        <v>Списание на расходы</v>
      </c>
      <c r="E141" s="7"/>
      <c r="F141" s="7" t="str">
        <f>KPI!$F$39</f>
        <v>распределение списания работ на расходы</v>
      </c>
      <c r="G141" s="7"/>
      <c r="H141" s="7" t="str">
        <f>INDEX(KPI!$H:$H,SUMIFS(KPI!$D:$D,KPI!$F:$F,$F141))</f>
        <v>%</v>
      </c>
      <c r="I141" s="7"/>
      <c r="J141" s="7"/>
      <c r="K141" s="7"/>
      <c r="L141" s="10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7"/>
      <c r="AM141" s="7"/>
    </row>
    <row r="142" spans="1:39" s="4" customFormat="1" ht="10.199999999999999" x14ac:dyDescent="0.2">
      <c r="A142" s="3"/>
      <c r="B142" s="3"/>
      <c r="C142" s="3"/>
      <c r="D142" s="9"/>
      <c r="E142" s="3"/>
      <c r="F142" s="5" t="str">
        <f>структура!$H$9</f>
        <v>в т.ч.</v>
      </c>
      <c r="G142" s="3"/>
      <c r="H142" s="3"/>
      <c r="I142" s="3"/>
      <c r="J142" s="3"/>
      <c r="K142" s="3"/>
      <c r="L142" s="1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1"/>
      <c r="B143" s="1"/>
      <c r="C143" s="1"/>
      <c r="D143" s="7"/>
      <c r="E143" s="1"/>
      <c r="F143" s="6" t="str">
        <f>структура!$F$9</f>
        <v>народный гараж</v>
      </c>
      <c r="G143" s="1"/>
      <c r="H143" s="1" t="str">
        <f>H141</f>
        <v>%</v>
      </c>
      <c r="I143" s="1"/>
      <c r="J143" s="1"/>
      <c r="K143" s="1"/>
      <c r="L143" s="10" t="s">
        <v>10</v>
      </c>
      <c r="M143" s="24">
        <v>0.5</v>
      </c>
      <c r="N143" s="24">
        <v>0.4</v>
      </c>
      <c r="O143" s="24">
        <v>0.1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5">
        <v>0</v>
      </c>
      <c r="AK143" s="26">
        <f>100%-SUM(M143:AJ143)</f>
        <v>0</v>
      </c>
      <c r="AL143" s="1"/>
      <c r="AM143" s="1"/>
    </row>
    <row r="144" spans="1:39" x14ac:dyDescent="0.25">
      <c r="A144" s="1"/>
      <c r="B144" s="1"/>
      <c r="C144" s="1"/>
      <c r="D144" s="7"/>
      <c r="E144" s="1"/>
      <c r="F144" s="6" t="str">
        <f>структура!$F$10</f>
        <v>хозяйственное ведение</v>
      </c>
      <c r="G144" s="1"/>
      <c r="H144" s="1" t="str">
        <f>H141</f>
        <v>%</v>
      </c>
      <c r="I144" s="1"/>
      <c r="J144" s="1"/>
      <c r="K144" s="1"/>
      <c r="L144" s="10" t="s">
        <v>10</v>
      </c>
      <c r="M144" s="24">
        <v>0.6</v>
      </c>
      <c r="N144" s="24">
        <v>0.4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5">
        <v>0</v>
      </c>
      <c r="AK144" s="26">
        <f>100%-SUM(M144:AJ144)</f>
        <v>0</v>
      </c>
      <c r="AL144" s="1"/>
      <c r="AM144" s="1"/>
    </row>
    <row r="145" spans="1:39" x14ac:dyDescent="0.25">
      <c r="A145" s="1"/>
      <c r="B145" s="1"/>
      <c r="C145" s="1"/>
      <c r="D145" s="7"/>
      <c r="E145" s="1"/>
      <c r="F145" s="1"/>
      <c r="G145" s="1"/>
      <c r="H145" s="1"/>
      <c r="I145" s="1"/>
      <c r="J145" s="1"/>
      <c r="K145" s="1"/>
      <c r="L145" s="1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s="8" customFormat="1" x14ac:dyDescent="0.25">
      <c r="A146" s="7"/>
      <c r="B146" s="7"/>
      <c r="C146" s="7"/>
      <c r="D146" s="7"/>
      <c r="E146" s="7"/>
      <c r="F146" s="7" t="str">
        <f>KPI!$F$40</f>
        <v>обратное распр-ние списания работ на расходы</v>
      </c>
      <c r="G146" s="7"/>
      <c r="H146" s="7" t="str">
        <f>INDEX(KPI!$H:$H,SUMIFS(KPI!$D:$D,KPI!$F:$F,$F146))</f>
        <v>%</v>
      </c>
      <c r="I146" s="7"/>
      <c r="J146" s="7"/>
      <c r="K146" s="7"/>
      <c r="L146" s="10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7"/>
      <c r="AM146" s="7"/>
    </row>
    <row r="147" spans="1:39" s="4" customFormat="1" ht="10.199999999999999" x14ac:dyDescent="0.2">
      <c r="A147" s="3"/>
      <c r="B147" s="3"/>
      <c r="C147" s="3"/>
      <c r="D147" s="9"/>
      <c r="E147" s="3"/>
      <c r="F147" s="5" t="str">
        <f>структура!$H$9</f>
        <v>в т.ч.</v>
      </c>
      <c r="G147" s="3"/>
      <c r="H147" s="3"/>
      <c r="I147" s="3"/>
      <c r="J147" s="3"/>
      <c r="K147" s="3"/>
      <c r="L147" s="1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1"/>
      <c r="B148" s="1"/>
      <c r="C148" s="1"/>
      <c r="D148" s="7"/>
      <c r="E148" s="1"/>
      <c r="F148" s="6" t="str">
        <f>структура!$F$9</f>
        <v>народный гараж</v>
      </c>
      <c r="G148" s="1"/>
      <c r="H148" s="1" t="str">
        <f>H146</f>
        <v>%</v>
      </c>
      <c r="I148" s="1"/>
      <c r="J148" s="1"/>
      <c r="K148" s="1"/>
      <c r="L148" s="10"/>
      <c r="M148" s="23">
        <f t="shared" ref="M148:AK148" si="129">SUMIFS(143:143,$1:$1,M$2)</f>
        <v>0</v>
      </c>
      <c r="N148" s="23">
        <f t="shared" si="129"/>
        <v>0</v>
      </c>
      <c r="O148" s="23">
        <f t="shared" si="129"/>
        <v>0</v>
      </c>
      <c r="P148" s="23">
        <f t="shared" si="129"/>
        <v>0</v>
      </c>
      <c r="Q148" s="23">
        <f t="shared" si="129"/>
        <v>0</v>
      </c>
      <c r="R148" s="23">
        <f t="shared" si="129"/>
        <v>0</v>
      </c>
      <c r="S148" s="23">
        <f t="shared" si="129"/>
        <v>0</v>
      </c>
      <c r="T148" s="23">
        <f t="shared" si="129"/>
        <v>0</v>
      </c>
      <c r="U148" s="23">
        <f t="shared" si="129"/>
        <v>0</v>
      </c>
      <c r="V148" s="23">
        <f t="shared" si="129"/>
        <v>0</v>
      </c>
      <c r="W148" s="23">
        <f t="shared" si="129"/>
        <v>0</v>
      </c>
      <c r="X148" s="23">
        <f t="shared" si="129"/>
        <v>0</v>
      </c>
      <c r="Y148" s="23">
        <f t="shared" si="129"/>
        <v>0</v>
      </c>
      <c r="Z148" s="23">
        <f t="shared" si="129"/>
        <v>0</v>
      </c>
      <c r="AA148" s="23">
        <f t="shared" si="129"/>
        <v>0</v>
      </c>
      <c r="AB148" s="23">
        <f t="shared" si="129"/>
        <v>0</v>
      </c>
      <c r="AC148" s="23">
        <f t="shared" si="129"/>
        <v>0</v>
      </c>
      <c r="AD148" s="23">
        <f t="shared" si="129"/>
        <v>0</v>
      </c>
      <c r="AE148" s="23">
        <f t="shared" si="129"/>
        <v>0</v>
      </c>
      <c r="AF148" s="23">
        <f t="shared" si="129"/>
        <v>0</v>
      </c>
      <c r="AG148" s="23">
        <f t="shared" si="129"/>
        <v>0</v>
      </c>
      <c r="AH148" s="23">
        <f t="shared" si="129"/>
        <v>0</v>
      </c>
      <c r="AI148" s="23">
        <f t="shared" si="129"/>
        <v>0.1</v>
      </c>
      <c r="AJ148" s="23">
        <f t="shared" si="129"/>
        <v>0.4</v>
      </c>
      <c r="AK148" s="23">
        <f t="shared" si="129"/>
        <v>0.5</v>
      </c>
      <c r="AL148" s="1"/>
      <c r="AM148" s="1"/>
    </row>
    <row r="149" spans="1:39" x14ac:dyDescent="0.25">
      <c r="A149" s="1"/>
      <c r="B149" s="1"/>
      <c r="C149" s="1"/>
      <c r="D149" s="7"/>
      <c r="E149" s="1"/>
      <c r="F149" s="6" t="str">
        <f>структура!$F$10</f>
        <v>хозяйственное ведение</v>
      </c>
      <c r="G149" s="1"/>
      <c r="H149" s="1" t="str">
        <f>H146</f>
        <v>%</v>
      </c>
      <c r="I149" s="1"/>
      <c r="J149" s="1"/>
      <c r="K149" s="1"/>
      <c r="L149" s="10"/>
      <c r="M149" s="23">
        <f t="shared" ref="M149:AK149" si="130">SUMIFS(144:144,$1:$1,M$2)</f>
        <v>0</v>
      </c>
      <c r="N149" s="23">
        <f t="shared" si="130"/>
        <v>0</v>
      </c>
      <c r="O149" s="23">
        <f t="shared" si="130"/>
        <v>0</v>
      </c>
      <c r="P149" s="23">
        <f t="shared" si="130"/>
        <v>0</v>
      </c>
      <c r="Q149" s="23">
        <f t="shared" si="130"/>
        <v>0</v>
      </c>
      <c r="R149" s="23">
        <f t="shared" si="130"/>
        <v>0</v>
      </c>
      <c r="S149" s="23">
        <f t="shared" si="130"/>
        <v>0</v>
      </c>
      <c r="T149" s="23">
        <f t="shared" si="130"/>
        <v>0</v>
      </c>
      <c r="U149" s="23">
        <f t="shared" si="130"/>
        <v>0</v>
      </c>
      <c r="V149" s="23">
        <f t="shared" si="130"/>
        <v>0</v>
      </c>
      <c r="W149" s="23">
        <f t="shared" si="130"/>
        <v>0</v>
      </c>
      <c r="X149" s="23">
        <f t="shared" si="130"/>
        <v>0</v>
      </c>
      <c r="Y149" s="23">
        <f t="shared" si="130"/>
        <v>0</v>
      </c>
      <c r="Z149" s="23">
        <f t="shared" si="130"/>
        <v>0</v>
      </c>
      <c r="AA149" s="23">
        <f t="shared" si="130"/>
        <v>0</v>
      </c>
      <c r="AB149" s="23">
        <f t="shared" si="130"/>
        <v>0</v>
      </c>
      <c r="AC149" s="23">
        <f t="shared" si="130"/>
        <v>0</v>
      </c>
      <c r="AD149" s="23">
        <f t="shared" si="130"/>
        <v>0</v>
      </c>
      <c r="AE149" s="23">
        <f t="shared" si="130"/>
        <v>0</v>
      </c>
      <c r="AF149" s="23">
        <f t="shared" si="130"/>
        <v>0</v>
      </c>
      <c r="AG149" s="23">
        <f t="shared" si="130"/>
        <v>0</v>
      </c>
      <c r="AH149" s="23">
        <f t="shared" si="130"/>
        <v>0</v>
      </c>
      <c r="AI149" s="23">
        <f t="shared" si="130"/>
        <v>0</v>
      </c>
      <c r="AJ149" s="23">
        <f t="shared" si="130"/>
        <v>0.4</v>
      </c>
      <c r="AK149" s="23">
        <f t="shared" si="130"/>
        <v>0.6</v>
      </c>
      <c r="AL149" s="1"/>
      <c r="AM149" s="1"/>
    </row>
    <row r="150" spans="1:39" x14ac:dyDescent="0.25">
      <c r="A150" s="1"/>
      <c r="B150" s="1"/>
      <c r="C150" s="1"/>
      <c r="D150" s="7"/>
      <c r="E150" s="1"/>
      <c r="F150" s="1"/>
      <c r="G150" s="1"/>
      <c r="H150" s="1"/>
      <c r="I150" s="1"/>
      <c r="J150" s="1"/>
      <c r="K150" s="1"/>
      <c r="L150" s="1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s="8" customFormat="1" x14ac:dyDescent="0.25">
      <c r="A151" s="7"/>
      <c r="B151" s="7"/>
      <c r="C151" s="7"/>
      <c r="D151" s="7"/>
      <c r="E151" s="7"/>
      <c r="F151" s="7" t="str">
        <f>KPI!$F$41</f>
        <v>работы в составе эксплуатационных расходов</v>
      </c>
      <c r="G151" s="7"/>
      <c r="H151" s="7" t="str">
        <f>INDEX(KPI!$H:$H,SUMIFS(KPI!$D:$D,KPI!$F:$F,$F151))</f>
        <v>тыс.руб.</v>
      </c>
      <c r="I151" s="7"/>
      <c r="J151" s="7"/>
      <c r="K151" s="7"/>
      <c r="L151" s="10"/>
      <c r="M151" s="17">
        <f>SUM(M152:M154)</f>
        <v>2025.6</v>
      </c>
      <c r="N151" s="17">
        <f t="shared" ref="N151:AK151" si="131">SUM(N152:N154)</f>
        <v>3640.8</v>
      </c>
      <c r="O151" s="17">
        <f t="shared" si="131"/>
        <v>4051.2</v>
      </c>
      <c r="P151" s="17">
        <f t="shared" si="131"/>
        <v>4152</v>
      </c>
      <c r="Q151" s="17">
        <f t="shared" si="131"/>
        <v>4274.4000000000005</v>
      </c>
      <c r="R151" s="17">
        <f t="shared" si="131"/>
        <v>4495.2000000000007</v>
      </c>
      <c r="S151" s="17">
        <f t="shared" si="131"/>
        <v>4716</v>
      </c>
      <c r="T151" s="17">
        <f t="shared" si="131"/>
        <v>4905.6000000000004</v>
      </c>
      <c r="U151" s="17">
        <f t="shared" si="131"/>
        <v>5143.2000000000007</v>
      </c>
      <c r="V151" s="17">
        <f t="shared" si="131"/>
        <v>5452.8000000000011</v>
      </c>
      <c r="W151" s="17">
        <f t="shared" si="131"/>
        <v>5676</v>
      </c>
      <c r="X151" s="17">
        <f t="shared" si="131"/>
        <v>5750.4</v>
      </c>
      <c r="Y151" s="17">
        <f t="shared" si="131"/>
        <v>5827.2</v>
      </c>
      <c r="Z151" s="17">
        <f t="shared" si="131"/>
        <v>5875.2000000000007</v>
      </c>
      <c r="AA151" s="17">
        <f t="shared" si="131"/>
        <v>5930.4</v>
      </c>
      <c r="AB151" s="17">
        <f t="shared" si="131"/>
        <v>6098.4</v>
      </c>
      <c r="AC151" s="17">
        <f t="shared" si="131"/>
        <v>6201.6</v>
      </c>
      <c r="AD151" s="17">
        <f t="shared" si="131"/>
        <v>6216</v>
      </c>
      <c r="AE151" s="17">
        <f t="shared" si="131"/>
        <v>6216</v>
      </c>
      <c r="AF151" s="17">
        <f t="shared" si="131"/>
        <v>6216</v>
      </c>
      <c r="AG151" s="17">
        <f t="shared" si="131"/>
        <v>6216</v>
      </c>
      <c r="AH151" s="17">
        <f t="shared" si="131"/>
        <v>6216</v>
      </c>
      <c r="AI151" s="17">
        <f t="shared" si="131"/>
        <v>6216</v>
      </c>
      <c r="AJ151" s="17">
        <f t="shared" si="131"/>
        <v>6216</v>
      </c>
      <c r="AK151" s="17">
        <f t="shared" si="131"/>
        <v>6216</v>
      </c>
      <c r="AL151" s="7"/>
      <c r="AM151" s="7"/>
    </row>
    <row r="152" spans="1:39" s="4" customFormat="1" ht="10.199999999999999" x14ac:dyDescent="0.2">
      <c r="A152" s="3"/>
      <c r="B152" s="3"/>
      <c r="C152" s="3"/>
      <c r="D152" s="9"/>
      <c r="E152" s="3"/>
      <c r="F152" s="5" t="str">
        <f>структура!$H$9</f>
        <v>в т.ч.</v>
      </c>
      <c r="G152" s="3"/>
      <c r="H152" s="3"/>
      <c r="I152" s="3"/>
      <c r="J152" s="3"/>
      <c r="K152" s="3"/>
      <c r="L152" s="1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1"/>
      <c r="B153" s="1"/>
      <c r="C153" s="1"/>
      <c r="D153" s="7"/>
      <c r="E153" s="1"/>
      <c r="F153" s="6" t="str">
        <f>структура!$F$9</f>
        <v>народный гараж</v>
      </c>
      <c r="G153" s="1"/>
      <c r="H153" s="1" t="str">
        <f>H151</f>
        <v>тыс.руб.</v>
      </c>
      <c r="I153" s="1"/>
      <c r="J153" s="1"/>
      <c r="K153" s="1"/>
      <c r="L153" s="10"/>
      <c r="M153" s="18">
        <f>SUMPRODUCT(M138:M138,AK148)</f>
        <v>1104</v>
      </c>
      <c r="N153" s="18">
        <f>SUMPRODUCT(M138:N138,AJ148:AK148)</f>
        <v>2047.2</v>
      </c>
      <c r="O153" s="18">
        <f>SUMPRODUCT(M138:O138,AI148:AK148)</f>
        <v>2376</v>
      </c>
      <c r="P153" s="18">
        <f>SUMPRODUCT(M138:P138,AH148:AK148)</f>
        <v>2448</v>
      </c>
      <c r="Q153" s="18">
        <f>SUMPRODUCT(M138:Q138,AG148:AK148)</f>
        <v>2541.6000000000004</v>
      </c>
      <c r="R153" s="18">
        <f>SUMPRODUCT(M138:R138,AF148:AK148)</f>
        <v>2613.6000000000004</v>
      </c>
      <c r="S153" s="18">
        <f>SUMPRODUCT(M138:S138,AE148:AK148)</f>
        <v>2733.6</v>
      </c>
      <c r="T153" s="18">
        <f>SUMPRODUCT(M138:T138,AD148:AK148)</f>
        <v>2884.8</v>
      </c>
      <c r="U153" s="18">
        <f>SUMPRODUCT(M138:U138,AC148:AK148)</f>
        <v>3045.6000000000004</v>
      </c>
      <c r="V153" s="18">
        <f>SUMPRODUCT(M138:V138,AB148:AK148)</f>
        <v>3259.2000000000003</v>
      </c>
      <c r="W153" s="18">
        <f>SUMPRODUCT(M138:W138,AA148:AK148)</f>
        <v>3429.6000000000004</v>
      </c>
      <c r="X153" s="18">
        <f>SUMPRODUCT(M138:X138,Z148:AK148)</f>
        <v>3494.4</v>
      </c>
      <c r="Y153" s="18">
        <f>SUMPRODUCT(M138:Y138,Y148:AK148)</f>
        <v>3528</v>
      </c>
      <c r="Z153" s="18">
        <f>SUMPRODUCT(M138:Z138,X148:AK148)</f>
        <v>3547.2000000000003</v>
      </c>
      <c r="AA153" s="18">
        <f>SUMPRODUCT(M138:AA138,W148:AK148)</f>
        <v>3588</v>
      </c>
      <c r="AB153" s="18">
        <f>SUMPRODUCT(M138:AB138,V148:AK148)</f>
        <v>3688.8</v>
      </c>
      <c r="AC153" s="18">
        <f>SUMPRODUCT(M138:AC138,U148:AK148)</f>
        <v>3753.6000000000004</v>
      </c>
      <c r="AD153" s="18">
        <f>SUMPRODUCT(M138:AD138,T148:AK148)</f>
        <v>3768</v>
      </c>
      <c r="AE153" s="18">
        <f>SUMPRODUCT(M138:AE138,S148:AK148)</f>
        <v>3768</v>
      </c>
      <c r="AF153" s="18">
        <f>SUMPRODUCT(M138:AF138,R148:AK148)</f>
        <v>3768</v>
      </c>
      <c r="AG153" s="18">
        <f>SUMPRODUCT(M138:AG138,Q148:AK148)</f>
        <v>3768</v>
      </c>
      <c r="AH153" s="18">
        <f>SUMPRODUCT(M138:AH138,P148:AK148)</f>
        <v>3768</v>
      </c>
      <c r="AI153" s="18">
        <f>SUMPRODUCT(M138:AI138,O148:AK148)</f>
        <v>3768</v>
      </c>
      <c r="AJ153" s="18">
        <f>SUMPRODUCT(M138:AJ138,N148:AK148)</f>
        <v>3768</v>
      </c>
      <c r="AK153" s="18">
        <f>SUMPRODUCT(M138:AK138,M148:AK148)</f>
        <v>3768</v>
      </c>
      <c r="AL153" s="1"/>
      <c r="AM153" s="1"/>
    </row>
    <row r="154" spans="1:39" x14ac:dyDescent="0.25">
      <c r="A154" s="1"/>
      <c r="B154" s="1"/>
      <c r="C154" s="1"/>
      <c r="D154" s="7"/>
      <c r="E154" s="1"/>
      <c r="F154" s="6" t="str">
        <f>структура!$F$10</f>
        <v>хозяйственное ведение</v>
      </c>
      <c r="G154" s="1"/>
      <c r="H154" s="1" t="str">
        <f>H151</f>
        <v>тыс.руб.</v>
      </c>
      <c r="I154" s="1"/>
      <c r="J154" s="1"/>
      <c r="K154" s="1"/>
      <c r="L154" s="10"/>
      <c r="M154" s="18">
        <f>SUMPRODUCT(M139:M139,AK149)</f>
        <v>921.59999999999991</v>
      </c>
      <c r="N154" s="18">
        <f>SUMPRODUCT(M139:N139,AJ149:AK149)</f>
        <v>1593.6</v>
      </c>
      <c r="O154" s="18">
        <f>SUMPRODUCT(M139:O139,AI149:AK149)</f>
        <v>1675.2</v>
      </c>
      <c r="P154" s="18">
        <f>SUMPRODUCT(M139:P139,AH149:AK149)</f>
        <v>1704</v>
      </c>
      <c r="Q154" s="18">
        <f>SUMPRODUCT(M139:Q139,AG149:AK149)</f>
        <v>1732.8000000000002</v>
      </c>
      <c r="R154" s="18">
        <f>SUMPRODUCT(M139:R139,AF149:AK149)</f>
        <v>1881.6</v>
      </c>
      <c r="S154" s="18">
        <f>SUMPRODUCT(M139:S139,AE149:AK149)</f>
        <v>1982.4</v>
      </c>
      <c r="T154" s="18">
        <f>SUMPRODUCT(M139:T139,AD149:AK149)</f>
        <v>2020.8000000000002</v>
      </c>
      <c r="U154" s="18">
        <f>SUMPRODUCT(M139:U139,AC149:AK149)</f>
        <v>2097.6</v>
      </c>
      <c r="V154" s="18">
        <f>SUMPRODUCT(M139:V139,AB149:AK149)</f>
        <v>2193.6000000000004</v>
      </c>
      <c r="W154" s="18">
        <f>SUMPRODUCT(M139:W139,AA149:AK149)</f>
        <v>2246.4</v>
      </c>
      <c r="X154" s="18">
        <f>SUMPRODUCT(M139:X139,Z149:AK149)</f>
        <v>2256</v>
      </c>
      <c r="Y154" s="18">
        <f>SUMPRODUCT(M139:Y139,Y149:AK149)</f>
        <v>2299.1999999999998</v>
      </c>
      <c r="Z154" s="18">
        <f>SUMPRODUCT(M139:Z139,X149:AK149)</f>
        <v>2328</v>
      </c>
      <c r="AA154" s="18">
        <f>SUMPRODUCT(M139:AA139,W149:AK149)</f>
        <v>2342.4</v>
      </c>
      <c r="AB154" s="18">
        <f>SUMPRODUCT(M139:AB139,V149:AK149)</f>
        <v>2409.6</v>
      </c>
      <c r="AC154" s="18">
        <f>SUMPRODUCT(M139:AC139,U149:AK149)</f>
        <v>2448</v>
      </c>
      <c r="AD154" s="18">
        <f>SUMPRODUCT(M139:AD139,T149:AK149)</f>
        <v>2448</v>
      </c>
      <c r="AE154" s="18">
        <f>SUMPRODUCT(M139:AE139,S149:AK149)</f>
        <v>2448</v>
      </c>
      <c r="AF154" s="18">
        <f>SUMPRODUCT(M139:AF139,R149:AK149)</f>
        <v>2448</v>
      </c>
      <c r="AG154" s="18">
        <f>SUMPRODUCT(M139:AG139,Q149:AK149)</f>
        <v>2448</v>
      </c>
      <c r="AH154" s="18">
        <f>SUMPRODUCT(M139:AH139,P149:AK149)</f>
        <v>2448</v>
      </c>
      <c r="AI154" s="18">
        <f>SUMPRODUCT(M139:AI139,O149:AK149)</f>
        <v>2448</v>
      </c>
      <c r="AJ154" s="18">
        <f>SUMPRODUCT(M139:AJ139,N149:AK149)</f>
        <v>2448</v>
      </c>
      <c r="AK154" s="18">
        <f>SUMPRODUCT(M139:AK139,M149:AK149)</f>
        <v>2448</v>
      </c>
      <c r="AL154" s="1"/>
      <c r="AM154" s="1"/>
    </row>
    <row r="155" spans="1:39" x14ac:dyDescent="0.25">
      <c r="A155" s="1"/>
      <c r="B155" s="1"/>
      <c r="C155" s="1"/>
      <c r="D155" s="7"/>
      <c r="E155" s="1"/>
      <c r="F155" s="1"/>
      <c r="G155" s="1"/>
      <c r="H155" s="1"/>
      <c r="I155" s="1"/>
      <c r="J155" s="1"/>
      <c r="K155" s="1"/>
      <c r="L155" s="1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s="8" customFormat="1" x14ac:dyDescent="0.25">
      <c r="A156" s="7"/>
      <c r="B156" s="7"/>
      <c r="C156" s="7"/>
      <c r="D156" s="27"/>
      <c r="E156" s="7"/>
      <c r="F156" s="27" t="str">
        <f>KPI!$F$42</f>
        <v>эксплуатационные расходы</v>
      </c>
      <c r="G156" s="7"/>
      <c r="H156" s="27" t="str">
        <f>INDEX(KPI!$H:$H,SUMIFS(KPI!$D:$D,KPI!$F:$F,$F156))</f>
        <v>тыс.руб.</v>
      </c>
      <c r="I156" s="7"/>
      <c r="J156" s="7"/>
      <c r="K156" s="7"/>
      <c r="L156" s="10"/>
      <c r="M156" s="28">
        <f>SUM(M157:M159)</f>
        <v>4557.6000000000004</v>
      </c>
      <c r="N156" s="28">
        <f t="shared" ref="N156:AK156" si="132">SUM(N157:N159)</f>
        <v>8191.7999999999993</v>
      </c>
      <c r="O156" s="28">
        <f t="shared" si="132"/>
        <v>9115.2000000000007</v>
      </c>
      <c r="P156" s="28">
        <f t="shared" si="132"/>
        <v>9342</v>
      </c>
      <c r="Q156" s="28">
        <f t="shared" si="132"/>
        <v>9617.4000000000015</v>
      </c>
      <c r="R156" s="28">
        <f t="shared" si="132"/>
        <v>10114.200000000001</v>
      </c>
      <c r="S156" s="28">
        <f t="shared" si="132"/>
        <v>10611</v>
      </c>
      <c r="T156" s="28">
        <f t="shared" si="132"/>
        <v>11037.6</v>
      </c>
      <c r="U156" s="28">
        <f t="shared" si="132"/>
        <v>11572.2</v>
      </c>
      <c r="V156" s="28">
        <f t="shared" si="132"/>
        <v>12268.800000000001</v>
      </c>
      <c r="W156" s="28">
        <f t="shared" si="132"/>
        <v>12771</v>
      </c>
      <c r="X156" s="28">
        <f t="shared" si="132"/>
        <v>12938.4</v>
      </c>
      <c r="Y156" s="28">
        <f t="shared" si="132"/>
        <v>13111.2</v>
      </c>
      <c r="Z156" s="28">
        <f t="shared" si="132"/>
        <v>13219.2</v>
      </c>
      <c r="AA156" s="28">
        <f t="shared" si="132"/>
        <v>13343.4</v>
      </c>
      <c r="AB156" s="28">
        <f t="shared" si="132"/>
        <v>13721.4</v>
      </c>
      <c r="AC156" s="28">
        <f t="shared" si="132"/>
        <v>13953.6</v>
      </c>
      <c r="AD156" s="28">
        <f t="shared" si="132"/>
        <v>13986</v>
      </c>
      <c r="AE156" s="28">
        <f t="shared" si="132"/>
        <v>13986</v>
      </c>
      <c r="AF156" s="28">
        <f t="shared" si="132"/>
        <v>13986</v>
      </c>
      <c r="AG156" s="28">
        <f t="shared" si="132"/>
        <v>13986</v>
      </c>
      <c r="AH156" s="28">
        <f t="shared" si="132"/>
        <v>13986</v>
      </c>
      <c r="AI156" s="28">
        <f t="shared" si="132"/>
        <v>13986</v>
      </c>
      <c r="AJ156" s="28">
        <f t="shared" si="132"/>
        <v>13986</v>
      </c>
      <c r="AK156" s="28">
        <f t="shared" si="132"/>
        <v>13986</v>
      </c>
      <c r="AL156" s="7"/>
      <c r="AM156" s="7"/>
    </row>
    <row r="157" spans="1:39" s="4" customFormat="1" ht="10.199999999999999" x14ac:dyDescent="0.2">
      <c r="A157" s="3"/>
      <c r="B157" s="3"/>
      <c r="C157" s="3"/>
      <c r="D157" s="9"/>
      <c r="E157" s="3"/>
      <c r="F157" s="5" t="str">
        <f>структура!$H$9</f>
        <v>в т.ч.</v>
      </c>
      <c r="G157" s="3"/>
      <c r="H157" s="3"/>
      <c r="I157" s="3"/>
      <c r="J157" s="3"/>
      <c r="K157" s="3"/>
      <c r="L157" s="1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1"/>
      <c r="B158" s="1"/>
      <c r="C158" s="1"/>
      <c r="D158" s="7"/>
      <c r="E158" s="1"/>
      <c r="F158" s="6" t="str">
        <f>структура!$F$9</f>
        <v>народный гараж</v>
      </c>
      <c r="G158" s="1"/>
      <c r="H158" s="1" t="str">
        <f>H156</f>
        <v>тыс.руб.</v>
      </c>
      <c r="I158" s="1"/>
      <c r="J158" s="1"/>
      <c r="K158" s="1"/>
      <c r="L158" s="10"/>
      <c r="M158" s="18">
        <f>M131+M153</f>
        <v>2484</v>
      </c>
      <c r="N158" s="18">
        <f t="shared" ref="N158:AK158" si="133">N131+N153</f>
        <v>4606.2</v>
      </c>
      <c r="O158" s="18">
        <f t="shared" si="133"/>
        <v>5346</v>
      </c>
      <c r="P158" s="18">
        <f t="shared" si="133"/>
        <v>5508</v>
      </c>
      <c r="Q158" s="18">
        <f t="shared" si="133"/>
        <v>5718.6</v>
      </c>
      <c r="R158" s="18">
        <f t="shared" si="133"/>
        <v>5880.6</v>
      </c>
      <c r="S158" s="18">
        <f t="shared" si="133"/>
        <v>6150.6</v>
      </c>
      <c r="T158" s="18">
        <f t="shared" si="133"/>
        <v>6490.8</v>
      </c>
      <c r="U158" s="18">
        <f t="shared" si="133"/>
        <v>6852.6</v>
      </c>
      <c r="V158" s="18">
        <f t="shared" si="133"/>
        <v>7333.2000000000007</v>
      </c>
      <c r="W158" s="18">
        <f t="shared" si="133"/>
        <v>7716.6</v>
      </c>
      <c r="X158" s="18">
        <f t="shared" si="133"/>
        <v>7862.4</v>
      </c>
      <c r="Y158" s="18">
        <f t="shared" si="133"/>
        <v>7938</v>
      </c>
      <c r="Z158" s="18">
        <f t="shared" si="133"/>
        <v>7981.2000000000007</v>
      </c>
      <c r="AA158" s="18">
        <f t="shared" si="133"/>
        <v>8073</v>
      </c>
      <c r="AB158" s="18">
        <f t="shared" si="133"/>
        <v>8299.7999999999993</v>
      </c>
      <c r="AC158" s="18">
        <f t="shared" si="133"/>
        <v>8445.6</v>
      </c>
      <c r="AD158" s="18">
        <f t="shared" si="133"/>
        <v>8478</v>
      </c>
      <c r="AE158" s="18">
        <f t="shared" si="133"/>
        <v>8478</v>
      </c>
      <c r="AF158" s="18">
        <f t="shared" si="133"/>
        <v>8478</v>
      </c>
      <c r="AG158" s="18">
        <f t="shared" si="133"/>
        <v>8478</v>
      </c>
      <c r="AH158" s="18">
        <f t="shared" si="133"/>
        <v>8478</v>
      </c>
      <c r="AI158" s="18">
        <f t="shared" si="133"/>
        <v>8478</v>
      </c>
      <c r="AJ158" s="18">
        <f t="shared" si="133"/>
        <v>8478</v>
      </c>
      <c r="AK158" s="18">
        <f t="shared" si="133"/>
        <v>8478</v>
      </c>
      <c r="AL158" s="1"/>
      <c r="AM158" s="1"/>
    </row>
    <row r="159" spans="1:39" x14ac:dyDescent="0.25">
      <c r="A159" s="1"/>
      <c r="B159" s="1"/>
      <c r="C159" s="1"/>
      <c r="D159" s="7"/>
      <c r="E159" s="1"/>
      <c r="F159" s="6" t="str">
        <f>структура!$F$10</f>
        <v>хозяйственное ведение</v>
      </c>
      <c r="G159" s="1"/>
      <c r="H159" s="1" t="str">
        <f>H156</f>
        <v>тыс.руб.</v>
      </c>
      <c r="I159" s="1"/>
      <c r="J159" s="1"/>
      <c r="K159" s="1"/>
      <c r="L159" s="10"/>
      <c r="M159" s="18">
        <f>M132+M154</f>
        <v>2073.6</v>
      </c>
      <c r="N159" s="18">
        <f t="shared" ref="N159:AK159" si="134">N132+N154</f>
        <v>3585.6</v>
      </c>
      <c r="O159" s="18">
        <f t="shared" si="134"/>
        <v>3769.2</v>
      </c>
      <c r="P159" s="18">
        <f t="shared" si="134"/>
        <v>3834</v>
      </c>
      <c r="Q159" s="18">
        <f t="shared" si="134"/>
        <v>3898.8</v>
      </c>
      <c r="R159" s="18">
        <f t="shared" si="134"/>
        <v>4233.6000000000004</v>
      </c>
      <c r="S159" s="18">
        <f t="shared" si="134"/>
        <v>4460.3999999999996</v>
      </c>
      <c r="T159" s="18">
        <f t="shared" si="134"/>
        <v>4546.8</v>
      </c>
      <c r="U159" s="18">
        <f t="shared" si="134"/>
        <v>4719.6000000000004</v>
      </c>
      <c r="V159" s="18">
        <f t="shared" si="134"/>
        <v>4935.6000000000004</v>
      </c>
      <c r="W159" s="18">
        <f t="shared" si="134"/>
        <v>5054.3999999999996</v>
      </c>
      <c r="X159" s="18">
        <f t="shared" si="134"/>
        <v>5076</v>
      </c>
      <c r="Y159" s="18">
        <f t="shared" si="134"/>
        <v>5173.2</v>
      </c>
      <c r="Z159" s="18">
        <f t="shared" si="134"/>
        <v>5238</v>
      </c>
      <c r="AA159" s="18">
        <f t="shared" si="134"/>
        <v>5270.4</v>
      </c>
      <c r="AB159" s="18">
        <f t="shared" si="134"/>
        <v>5421.6</v>
      </c>
      <c r="AC159" s="18">
        <f t="shared" si="134"/>
        <v>5508</v>
      </c>
      <c r="AD159" s="18">
        <f t="shared" si="134"/>
        <v>5508</v>
      </c>
      <c r="AE159" s="18">
        <f t="shared" si="134"/>
        <v>5508</v>
      </c>
      <c r="AF159" s="18">
        <f t="shared" si="134"/>
        <v>5508</v>
      </c>
      <c r="AG159" s="18">
        <f t="shared" si="134"/>
        <v>5508</v>
      </c>
      <c r="AH159" s="18">
        <f t="shared" si="134"/>
        <v>5508</v>
      </c>
      <c r="AI159" s="18">
        <f t="shared" si="134"/>
        <v>5508</v>
      </c>
      <c r="AJ159" s="18">
        <f t="shared" si="134"/>
        <v>5508</v>
      </c>
      <c r="AK159" s="18">
        <f t="shared" si="134"/>
        <v>5508</v>
      </c>
      <c r="AL159" s="1"/>
      <c r="AM159" s="1"/>
    </row>
    <row r="160" spans="1:39" x14ac:dyDescent="0.25">
      <c r="A160" s="1"/>
      <c r="B160" s="1"/>
      <c r="C160" s="1"/>
      <c r="D160" s="7"/>
      <c r="E160" s="1"/>
      <c r="F160" s="1"/>
      <c r="G160" s="1"/>
      <c r="H160" s="1"/>
      <c r="I160" s="1"/>
      <c r="J160" s="1"/>
      <c r="K160" s="1"/>
      <c r="L160" s="1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s="8" customFormat="1" x14ac:dyDescent="0.25">
      <c r="A161" s="7"/>
      <c r="B161" s="7"/>
      <c r="C161" s="7"/>
      <c r="D161" s="7" t="str">
        <f>структура!$D$15</f>
        <v>Списания ДС</v>
      </c>
      <c r="E161" s="7"/>
      <c r="F161" s="7" t="str">
        <f>KPI!$F$43</f>
        <v>распределение платежей за материалы и работы</v>
      </c>
      <c r="G161" s="7"/>
      <c r="H161" s="7" t="str">
        <f>INDEX(KPI!$H:$H,SUMIFS(KPI!$D:$D,KPI!$F:$F,$F161))</f>
        <v>%</v>
      </c>
      <c r="I161" s="7"/>
      <c r="J161" s="7"/>
      <c r="K161" s="7"/>
      <c r="L161" s="10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7"/>
      <c r="AM161" s="7"/>
    </row>
    <row r="162" spans="1:39" s="4" customFormat="1" ht="10.199999999999999" x14ac:dyDescent="0.2">
      <c r="A162" s="3"/>
      <c r="B162" s="3"/>
      <c r="C162" s="3"/>
      <c r="D162" s="9"/>
      <c r="E162" s="3"/>
      <c r="F162" s="5" t="str">
        <f>структура!$H$9</f>
        <v>в т.ч.</v>
      </c>
      <c r="G162" s="3"/>
      <c r="H162" s="3"/>
      <c r="I162" s="3"/>
      <c r="J162" s="3"/>
      <c r="K162" s="3"/>
      <c r="L162" s="1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1"/>
      <c r="B163" s="1"/>
      <c r="C163" s="1"/>
      <c r="D163" s="7"/>
      <c r="E163" s="1"/>
      <c r="F163" s="6" t="str">
        <f>структура!$F$9</f>
        <v>народный гараж</v>
      </c>
      <c r="G163" s="1"/>
      <c r="H163" s="1" t="str">
        <f>H161</f>
        <v>%</v>
      </c>
      <c r="I163" s="1"/>
      <c r="J163" s="1"/>
      <c r="K163" s="1"/>
      <c r="L163" s="10" t="s">
        <v>10</v>
      </c>
      <c r="M163" s="24">
        <v>0.6</v>
      </c>
      <c r="N163" s="24">
        <v>0.2</v>
      </c>
      <c r="O163" s="24">
        <v>0.1</v>
      </c>
      <c r="P163" s="24">
        <v>0.1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5">
        <v>0</v>
      </c>
      <c r="AK163" s="26">
        <f>100%-SUM(M163:AJ163)</f>
        <v>0</v>
      </c>
      <c r="AL163" s="1"/>
      <c r="AM163" s="1"/>
    </row>
    <row r="164" spans="1:39" x14ac:dyDescent="0.25">
      <c r="A164" s="1"/>
      <c r="B164" s="1"/>
      <c r="C164" s="1"/>
      <c r="D164" s="7"/>
      <c r="E164" s="1"/>
      <c r="F164" s="6" t="str">
        <f>структура!$F$10</f>
        <v>хозяйственное ведение</v>
      </c>
      <c r="G164" s="1"/>
      <c r="H164" s="1" t="str">
        <f>H161</f>
        <v>%</v>
      </c>
      <c r="I164" s="1"/>
      <c r="J164" s="1"/>
      <c r="K164" s="1"/>
      <c r="L164" s="10" t="s">
        <v>10</v>
      </c>
      <c r="M164" s="24">
        <v>0.6</v>
      </c>
      <c r="N164" s="24">
        <v>0.2</v>
      </c>
      <c r="O164" s="24">
        <v>0.1</v>
      </c>
      <c r="P164" s="24">
        <v>0.1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5">
        <v>0</v>
      </c>
      <c r="AK164" s="26">
        <f>100%-SUM(M164:AJ164)</f>
        <v>0</v>
      </c>
      <c r="AL164" s="1"/>
      <c r="AM164" s="1"/>
    </row>
    <row r="165" spans="1:39" x14ac:dyDescent="0.25">
      <c r="A165" s="1"/>
      <c r="B165" s="1"/>
      <c r="C165" s="1"/>
      <c r="D165" s="7"/>
      <c r="E165" s="1"/>
      <c r="F165" s="1"/>
      <c r="G165" s="1"/>
      <c r="H165" s="1"/>
      <c r="I165" s="1"/>
      <c r="J165" s="1"/>
      <c r="K165" s="1"/>
      <c r="L165" s="1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s="8" customFormat="1" x14ac:dyDescent="0.25">
      <c r="A166" s="7"/>
      <c r="B166" s="7"/>
      <c r="C166" s="7"/>
      <c r="D166" s="7"/>
      <c r="E166" s="7"/>
      <c r="F166" s="7" t="str">
        <f>KPI!$F$44</f>
        <v>обратное распр-ние платежей за материалы и работы</v>
      </c>
      <c r="G166" s="7"/>
      <c r="H166" s="7" t="str">
        <f>INDEX(KPI!$H:$H,SUMIFS(KPI!$D:$D,KPI!$F:$F,$F166))</f>
        <v>%</v>
      </c>
      <c r="I166" s="7"/>
      <c r="J166" s="7"/>
      <c r="K166" s="7"/>
      <c r="L166" s="10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7"/>
      <c r="AM166" s="7"/>
    </row>
    <row r="167" spans="1:39" s="4" customFormat="1" ht="10.199999999999999" x14ac:dyDescent="0.2">
      <c r="A167" s="3"/>
      <c r="B167" s="3"/>
      <c r="C167" s="3"/>
      <c r="D167" s="9"/>
      <c r="E167" s="3"/>
      <c r="F167" s="5" t="str">
        <f>структура!$H$9</f>
        <v>в т.ч.</v>
      </c>
      <c r="G167" s="3"/>
      <c r="H167" s="3"/>
      <c r="I167" s="3"/>
      <c r="J167" s="3"/>
      <c r="K167" s="3"/>
      <c r="L167" s="1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1"/>
      <c r="B168" s="1"/>
      <c r="C168" s="1"/>
      <c r="D168" s="7"/>
      <c r="E168" s="1"/>
      <c r="F168" s="6" t="str">
        <f>структура!$F$9</f>
        <v>народный гараж</v>
      </c>
      <c r="G168" s="1"/>
      <c r="H168" s="1" t="str">
        <f>H166</f>
        <v>%</v>
      </c>
      <c r="I168" s="1"/>
      <c r="J168" s="1"/>
      <c r="K168" s="1"/>
      <c r="L168" s="10"/>
      <c r="M168" s="23">
        <f t="shared" ref="M168:AK168" si="135">SUMIFS(163:163,$1:$1,M$2)</f>
        <v>0</v>
      </c>
      <c r="N168" s="23">
        <f t="shared" si="135"/>
        <v>0</v>
      </c>
      <c r="O168" s="23">
        <f t="shared" si="135"/>
        <v>0</v>
      </c>
      <c r="P168" s="23">
        <f t="shared" si="135"/>
        <v>0</v>
      </c>
      <c r="Q168" s="23">
        <f t="shared" si="135"/>
        <v>0</v>
      </c>
      <c r="R168" s="23">
        <f t="shared" si="135"/>
        <v>0</v>
      </c>
      <c r="S168" s="23">
        <f t="shared" si="135"/>
        <v>0</v>
      </c>
      <c r="T168" s="23">
        <f t="shared" si="135"/>
        <v>0</v>
      </c>
      <c r="U168" s="23">
        <f t="shared" si="135"/>
        <v>0</v>
      </c>
      <c r="V168" s="23">
        <f t="shared" si="135"/>
        <v>0</v>
      </c>
      <c r="W168" s="23">
        <f t="shared" si="135"/>
        <v>0</v>
      </c>
      <c r="X168" s="23">
        <f t="shared" si="135"/>
        <v>0</v>
      </c>
      <c r="Y168" s="23">
        <f t="shared" si="135"/>
        <v>0</v>
      </c>
      <c r="Z168" s="23">
        <f t="shared" si="135"/>
        <v>0</v>
      </c>
      <c r="AA168" s="23">
        <f t="shared" si="135"/>
        <v>0</v>
      </c>
      <c r="AB168" s="23">
        <f t="shared" si="135"/>
        <v>0</v>
      </c>
      <c r="AC168" s="23">
        <f t="shared" si="135"/>
        <v>0</v>
      </c>
      <c r="AD168" s="23">
        <f t="shared" si="135"/>
        <v>0</v>
      </c>
      <c r="AE168" s="23">
        <f t="shared" si="135"/>
        <v>0</v>
      </c>
      <c r="AF168" s="23">
        <f t="shared" si="135"/>
        <v>0</v>
      </c>
      <c r="AG168" s="23">
        <f t="shared" si="135"/>
        <v>0</v>
      </c>
      <c r="AH168" s="23">
        <f t="shared" si="135"/>
        <v>0.1</v>
      </c>
      <c r="AI168" s="23">
        <f t="shared" si="135"/>
        <v>0.1</v>
      </c>
      <c r="AJ168" s="23">
        <f t="shared" si="135"/>
        <v>0.2</v>
      </c>
      <c r="AK168" s="23">
        <f t="shared" si="135"/>
        <v>0.6</v>
      </c>
      <c r="AL168" s="1"/>
      <c r="AM168" s="1"/>
    </row>
    <row r="169" spans="1:39" x14ac:dyDescent="0.25">
      <c r="A169" s="1"/>
      <c r="B169" s="1"/>
      <c r="C169" s="1"/>
      <c r="D169" s="7"/>
      <c r="E169" s="1"/>
      <c r="F169" s="6" t="str">
        <f>структура!$F$10</f>
        <v>хозяйственное ведение</v>
      </c>
      <c r="G169" s="1"/>
      <c r="H169" s="1" t="str">
        <f>H166</f>
        <v>%</v>
      </c>
      <c r="I169" s="1"/>
      <c r="J169" s="1"/>
      <c r="K169" s="1"/>
      <c r="L169" s="10"/>
      <c r="M169" s="23">
        <f t="shared" ref="M169:AK169" si="136">SUMIFS(164:164,$1:$1,M$2)</f>
        <v>0</v>
      </c>
      <c r="N169" s="23">
        <f t="shared" si="136"/>
        <v>0</v>
      </c>
      <c r="O169" s="23">
        <f t="shared" si="136"/>
        <v>0</v>
      </c>
      <c r="P169" s="23">
        <f t="shared" si="136"/>
        <v>0</v>
      </c>
      <c r="Q169" s="23">
        <f t="shared" si="136"/>
        <v>0</v>
      </c>
      <c r="R169" s="23">
        <f t="shared" si="136"/>
        <v>0</v>
      </c>
      <c r="S169" s="23">
        <f t="shared" si="136"/>
        <v>0</v>
      </c>
      <c r="T169" s="23">
        <f t="shared" si="136"/>
        <v>0</v>
      </c>
      <c r="U169" s="23">
        <f t="shared" si="136"/>
        <v>0</v>
      </c>
      <c r="V169" s="23">
        <f t="shared" si="136"/>
        <v>0</v>
      </c>
      <c r="W169" s="23">
        <f t="shared" si="136"/>
        <v>0</v>
      </c>
      <c r="X169" s="23">
        <f t="shared" si="136"/>
        <v>0</v>
      </c>
      <c r="Y169" s="23">
        <f t="shared" si="136"/>
        <v>0</v>
      </c>
      <c r="Z169" s="23">
        <f t="shared" si="136"/>
        <v>0</v>
      </c>
      <c r="AA169" s="23">
        <f t="shared" si="136"/>
        <v>0</v>
      </c>
      <c r="AB169" s="23">
        <f t="shared" si="136"/>
        <v>0</v>
      </c>
      <c r="AC169" s="23">
        <f t="shared" si="136"/>
        <v>0</v>
      </c>
      <c r="AD169" s="23">
        <f t="shared" si="136"/>
        <v>0</v>
      </c>
      <c r="AE169" s="23">
        <f t="shared" si="136"/>
        <v>0</v>
      </c>
      <c r="AF169" s="23">
        <f t="shared" si="136"/>
        <v>0</v>
      </c>
      <c r="AG169" s="23">
        <f t="shared" si="136"/>
        <v>0</v>
      </c>
      <c r="AH169" s="23">
        <f t="shared" si="136"/>
        <v>0.1</v>
      </c>
      <c r="AI169" s="23">
        <f t="shared" si="136"/>
        <v>0.1</v>
      </c>
      <c r="AJ169" s="23">
        <f t="shared" si="136"/>
        <v>0.2</v>
      </c>
      <c r="AK169" s="23">
        <f t="shared" si="136"/>
        <v>0.6</v>
      </c>
      <c r="AL169" s="1"/>
      <c r="AM169" s="1"/>
    </row>
    <row r="170" spans="1:39" x14ac:dyDescent="0.25">
      <c r="A170" s="1"/>
      <c r="B170" s="1"/>
      <c r="C170" s="1"/>
      <c r="D170" s="7"/>
      <c r="E170" s="1"/>
      <c r="F170" s="1"/>
      <c r="G170" s="1"/>
      <c r="H170" s="1"/>
      <c r="I170" s="1"/>
      <c r="J170" s="1"/>
      <c r="K170" s="1"/>
      <c r="L170" s="1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s="8" customFormat="1" x14ac:dyDescent="0.25">
      <c r="A171" s="7"/>
      <c r="B171" s="7"/>
      <c r="C171" s="7"/>
      <c r="D171" s="27" t="str">
        <f>структура!$D$16</f>
        <v>CFOut</v>
      </c>
      <c r="E171" s="7"/>
      <c r="F171" s="27" t="str">
        <f>KPI!$F$45</f>
        <v>оплата эксплуатационных расходов</v>
      </c>
      <c r="G171" s="7"/>
      <c r="H171" s="27" t="str">
        <f>INDEX(KPI!$H:$H,SUMIFS(KPI!$D:$D,KPI!$F:$F,$F171))</f>
        <v>тыс.руб.</v>
      </c>
      <c r="I171" s="7"/>
      <c r="J171" s="7"/>
      <c r="K171" s="7"/>
      <c r="L171" s="10"/>
      <c r="M171" s="28">
        <f>SUM(M172:M174)</f>
        <v>2734.5599999999995</v>
      </c>
      <c r="N171" s="28">
        <f t="shared" ref="N171:AK171" si="137">SUM(N172:N174)</f>
        <v>5826.6</v>
      </c>
      <c r="O171" s="28">
        <f t="shared" si="137"/>
        <v>7563.24</v>
      </c>
      <c r="P171" s="28">
        <f t="shared" si="137"/>
        <v>8703.18</v>
      </c>
      <c r="Q171" s="28">
        <f t="shared" si="137"/>
        <v>9369.5400000000009</v>
      </c>
      <c r="R171" s="28">
        <f t="shared" si="137"/>
        <v>9837.7200000000012</v>
      </c>
      <c r="S171" s="28">
        <f t="shared" si="137"/>
        <v>10285.380000000001</v>
      </c>
      <c r="T171" s="28">
        <f t="shared" si="137"/>
        <v>10717.92</v>
      </c>
      <c r="U171" s="28">
        <f t="shared" si="137"/>
        <v>11223.36</v>
      </c>
      <c r="V171" s="28">
        <f t="shared" si="137"/>
        <v>11840.58</v>
      </c>
      <c r="W171" s="28">
        <f t="shared" si="137"/>
        <v>12377.34</v>
      </c>
      <c r="X171" s="28">
        <f t="shared" si="137"/>
        <v>12701.34</v>
      </c>
      <c r="Y171" s="28">
        <f t="shared" si="137"/>
        <v>12958.380000000001</v>
      </c>
      <c r="Z171" s="28">
        <f t="shared" si="137"/>
        <v>13124.7</v>
      </c>
      <c r="AA171" s="28">
        <f t="shared" si="137"/>
        <v>13254.84</v>
      </c>
      <c r="AB171" s="28">
        <f t="shared" si="137"/>
        <v>13534.56</v>
      </c>
      <c r="AC171" s="28">
        <f t="shared" si="137"/>
        <v>13772.7</v>
      </c>
      <c r="AD171" s="28">
        <f t="shared" si="137"/>
        <v>13888.800000000001</v>
      </c>
      <c r="AE171" s="28">
        <f t="shared" si="137"/>
        <v>13956.300000000001</v>
      </c>
      <c r="AF171" s="28">
        <f t="shared" si="137"/>
        <v>13982.76</v>
      </c>
      <c r="AG171" s="28">
        <f t="shared" si="137"/>
        <v>13986</v>
      </c>
      <c r="AH171" s="28">
        <f t="shared" si="137"/>
        <v>13986</v>
      </c>
      <c r="AI171" s="28">
        <f t="shared" si="137"/>
        <v>13986</v>
      </c>
      <c r="AJ171" s="28">
        <f t="shared" si="137"/>
        <v>13986</v>
      </c>
      <c r="AK171" s="28">
        <f t="shared" si="137"/>
        <v>13986</v>
      </c>
      <c r="AL171" s="7"/>
      <c r="AM171" s="7"/>
    </row>
    <row r="172" spans="1:39" s="4" customFormat="1" ht="10.199999999999999" x14ac:dyDescent="0.2">
      <c r="A172" s="3"/>
      <c r="B172" s="3"/>
      <c r="C172" s="3"/>
      <c r="D172" s="9"/>
      <c r="E172" s="3"/>
      <c r="F172" s="5" t="str">
        <f>структура!$H$9</f>
        <v>в т.ч.</v>
      </c>
      <c r="G172" s="3"/>
      <c r="H172" s="3"/>
      <c r="I172" s="3"/>
      <c r="J172" s="3"/>
      <c r="K172" s="3"/>
      <c r="L172" s="1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A173" s="1"/>
      <c r="B173" s="1"/>
      <c r="C173" s="1"/>
      <c r="D173" s="7"/>
      <c r="E173" s="1"/>
      <c r="F173" s="6" t="str">
        <f>структура!$F$9</f>
        <v>народный гараж</v>
      </c>
      <c r="G173" s="1"/>
      <c r="H173" s="1" t="str">
        <f>H171</f>
        <v>тыс.руб.</v>
      </c>
      <c r="I173" s="1"/>
      <c r="J173" s="1"/>
      <c r="K173" s="1"/>
      <c r="L173" s="10"/>
      <c r="M173" s="18">
        <f>SUMPRODUCT(M158:M158,AK168)</f>
        <v>1490.3999999999999</v>
      </c>
      <c r="N173" s="18">
        <f>SUMPRODUCT(M158:N158,AJ168:AK168)</f>
        <v>3260.52</v>
      </c>
      <c r="O173" s="18">
        <f>SUMPRODUCT(M158:O158,AI168:AK168)</f>
        <v>4377.24</v>
      </c>
      <c r="P173" s="18">
        <f>SUMPRODUCT(M158:P158,AH168:AK168)</f>
        <v>5083.0199999999995</v>
      </c>
      <c r="Q173" s="18">
        <f>SUMPRODUCT(M158:Q158,AG168:AK168)</f>
        <v>5527.9800000000005</v>
      </c>
      <c r="R173" s="18">
        <f>SUMPRODUCT(M158:R158,AF168:AK168)</f>
        <v>5757.48</v>
      </c>
      <c r="S173" s="18">
        <f>SUMPRODUCT(M158:S158,AE168:AK168)</f>
        <v>5989.14</v>
      </c>
      <c r="T173" s="18">
        <f>SUMPRODUCT(M158:T158,AD168:AK168)</f>
        <v>6284.52</v>
      </c>
      <c r="U173" s="18">
        <f>SUMPRODUCT(M158:U158,AC168:AK168)</f>
        <v>6612.84</v>
      </c>
      <c r="V173" s="18">
        <f>SUMPRODUCT(M158:V158,AB168:AK168)</f>
        <v>7034.58</v>
      </c>
      <c r="W173" s="18">
        <f>SUMPRODUCT(M158:W158,AA168:AK168)</f>
        <v>7430.9400000000005</v>
      </c>
      <c r="X173" s="18">
        <f>SUMPRODUCT(M158:X158,Z168:AK168)</f>
        <v>7679.34</v>
      </c>
      <c r="Y173" s="18">
        <f>SUMPRODUCT(M158:Y158,Y168:AK168)</f>
        <v>7840.26</v>
      </c>
      <c r="Z173" s="18">
        <f>SUMPRODUCT(M158:Z158,X168:AK168)</f>
        <v>7934.22</v>
      </c>
      <c r="AA173" s="18">
        <f>SUMPRODUCT(M158:AA158,W168:AK168)</f>
        <v>8020.08</v>
      </c>
      <c r="AB173" s="18">
        <f>SUMPRODUCT(M158:AB158,V168:AK168)</f>
        <v>8186.4</v>
      </c>
      <c r="AC173" s="18">
        <f>SUMPRODUCT(M158:AC158,U168:AK168)</f>
        <v>8332.74</v>
      </c>
      <c r="AD173" s="18">
        <f>SUMPRODUCT(M158:AD158,T168:AK168)</f>
        <v>8413.2000000000007</v>
      </c>
      <c r="AE173" s="18">
        <f>SUMPRODUCT(M158:AE158,S168:AK168)</f>
        <v>8456.94</v>
      </c>
      <c r="AF173" s="18">
        <f>SUMPRODUCT(M158:AF158,R168:AK168)</f>
        <v>8474.76</v>
      </c>
      <c r="AG173" s="18">
        <f>SUMPRODUCT(M158:AG158,Q168:AK168)</f>
        <v>8478</v>
      </c>
      <c r="AH173" s="18">
        <f>SUMPRODUCT(M158:AH158,P168:AK168)</f>
        <v>8478</v>
      </c>
      <c r="AI173" s="18">
        <f>SUMPRODUCT(M158:AI158,O168:AK168)</f>
        <v>8478</v>
      </c>
      <c r="AJ173" s="18">
        <f>SUMPRODUCT(M158:AJ158,N168:AK168)</f>
        <v>8478</v>
      </c>
      <c r="AK173" s="18">
        <f>SUMPRODUCT(M158:AK158,M168:AK168)</f>
        <v>8478</v>
      </c>
      <c r="AL173" s="1"/>
      <c r="AM173" s="1"/>
    </row>
    <row r="174" spans="1:39" x14ac:dyDescent="0.25">
      <c r="A174" s="1"/>
      <c r="B174" s="1"/>
      <c r="C174" s="1"/>
      <c r="D174" s="7"/>
      <c r="E174" s="1"/>
      <c r="F174" s="6" t="str">
        <f>структура!$F$10</f>
        <v>хозяйственное ведение</v>
      </c>
      <c r="G174" s="1"/>
      <c r="H174" s="1" t="str">
        <f>H171</f>
        <v>тыс.руб.</v>
      </c>
      <c r="I174" s="1"/>
      <c r="J174" s="1"/>
      <c r="K174" s="1"/>
      <c r="L174" s="10"/>
      <c r="M174" s="18">
        <f>SUMPRODUCT(M159:M159,AK169)</f>
        <v>1244.1599999999999</v>
      </c>
      <c r="N174" s="18">
        <f>SUMPRODUCT(M159:N159,AJ169:AK169)</f>
        <v>2566.08</v>
      </c>
      <c r="O174" s="18">
        <f>SUMPRODUCT(M159:O159,AI169:AK169)</f>
        <v>3186</v>
      </c>
      <c r="P174" s="18">
        <f>SUMPRODUCT(M159:P159,AH169:AK169)</f>
        <v>3620.1600000000003</v>
      </c>
      <c r="Q174" s="18">
        <f>SUMPRODUCT(M159:Q159,AG169:AK169)</f>
        <v>3841.5600000000004</v>
      </c>
      <c r="R174" s="18">
        <f>SUMPRODUCT(M159:R159,AF169:AK169)</f>
        <v>4080.2400000000007</v>
      </c>
      <c r="S174" s="18">
        <f>SUMPRODUCT(M159:S159,AE169:AK169)</f>
        <v>4296.24</v>
      </c>
      <c r="T174" s="18">
        <f>SUMPRODUCT(M159:T159,AD169:AK169)</f>
        <v>4433.3999999999996</v>
      </c>
      <c r="U174" s="18">
        <f>SUMPRODUCT(M159:U159,AC169:AK169)</f>
        <v>4610.5200000000004</v>
      </c>
      <c r="V174" s="18">
        <f>SUMPRODUCT(M159:V159,AB169:AK169)</f>
        <v>4806</v>
      </c>
      <c r="W174" s="18">
        <f>SUMPRODUCT(M159:W159,AA169:AK169)</f>
        <v>4946.3999999999996</v>
      </c>
      <c r="X174" s="18">
        <f>SUMPRODUCT(M159:X159,Z169:AK169)</f>
        <v>5022</v>
      </c>
      <c r="Y174" s="18">
        <f>SUMPRODUCT(M159:Y159,Y169:AK169)</f>
        <v>5118.12</v>
      </c>
      <c r="Z174" s="18">
        <f>SUMPRODUCT(M159:Z159,X169:AK169)</f>
        <v>5190.4799999999996</v>
      </c>
      <c r="AA174" s="18">
        <f>SUMPRODUCT(M159:AA159,W169:AK169)</f>
        <v>5234.76</v>
      </c>
      <c r="AB174" s="18">
        <f>SUMPRODUCT(M159:AB159,V169:AK169)</f>
        <v>5348.16</v>
      </c>
      <c r="AC174" s="18">
        <f>SUMPRODUCT(M159:AC159,U169:AK169)</f>
        <v>5439.96</v>
      </c>
      <c r="AD174" s="18">
        <f>SUMPRODUCT(M159:AD159,T169:AK169)</f>
        <v>5475.6</v>
      </c>
      <c r="AE174" s="18">
        <f>SUMPRODUCT(M159:AE159,S169:AK169)</f>
        <v>5499.3600000000006</v>
      </c>
      <c r="AF174" s="18">
        <f>SUMPRODUCT(M159:AF159,R169:AK169)</f>
        <v>5508</v>
      </c>
      <c r="AG174" s="18">
        <f>SUMPRODUCT(M159:AG159,Q169:AK169)</f>
        <v>5508</v>
      </c>
      <c r="AH174" s="18">
        <f>SUMPRODUCT(M159:AH159,P169:AK169)</f>
        <v>5508</v>
      </c>
      <c r="AI174" s="18">
        <f>SUMPRODUCT(M159:AI159,O169:AK169)</f>
        <v>5508</v>
      </c>
      <c r="AJ174" s="18">
        <f>SUMPRODUCT(M159:AJ159,N169:AK169)</f>
        <v>5508</v>
      </c>
      <c r="AK174" s="18">
        <f>SUMPRODUCT(M159:AK159,M169:AK169)</f>
        <v>5508</v>
      </c>
      <c r="AL174" s="1"/>
      <c r="AM174" s="1"/>
    </row>
    <row r="175" spans="1:39" x14ac:dyDescent="0.25">
      <c r="A175" s="1"/>
      <c r="B175" s="1"/>
      <c r="C175" s="1"/>
      <c r="D175" s="7"/>
      <c r="E175" s="1"/>
      <c r="F175" s="1"/>
      <c r="G175" s="1"/>
      <c r="H175" s="1"/>
      <c r="I175" s="1"/>
      <c r="J175" s="1"/>
      <c r="K175" s="1"/>
      <c r="L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s="8" customFormat="1" x14ac:dyDescent="0.25">
      <c r="A176" s="7"/>
      <c r="B176" s="7"/>
      <c r="C176" s="7"/>
      <c r="D176" s="7"/>
      <c r="E176" s="7"/>
      <c r="F176" s="7" t="str">
        <f>KPI!$F$46</f>
        <v>маркетинговые расходы на одну парковку</v>
      </c>
      <c r="G176" s="7"/>
      <c r="H176" s="7" t="str">
        <f>INDEX(KPI!$H:$H,SUMIFS(KPI!$D:$D,KPI!$F:$F,$F176))</f>
        <v>тыс.руб.</v>
      </c>
      <c r="I176" s="7"/>
      <c r="J176" s="7"/>
      <c r="K176" s="7"/>
      <c r="L176" s="10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7"/>
      <c r="AM176" s="7"/>
    </row>
    <row r="177" spans="1:39" s="4" customFormat="1" ht="10.199999999999999" x14ac:dyDescent="0.2">
      <c r="A177" s="3"/>
      <c r="B177" s="3"/>
      <c r="C177" s="3"/>
      <c r="D177" s="9"/>
      <c r="E177" s="3"/>
      <c r="F177" s="5" t="str">
        <f>структура!$H$9</f>
        <v>в т.ч.</v>
      </c>
      <c r="G177" s="3"/>
      <c r="H177" s="3"/>
      <c r="I177" s="3"/>
      <c r="J177" s="3"/>
      <c r="K177" s="3"/>
      <c r="L177" s="1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5">
      <c r="A178" s="1"/>
      <c r="B178" s="1"/>
      <c r="C178" s="1"/>
      <c r="D178" s="7"/>
      <c r="E178" s="1"/>
      <c r="F178" s="6" t="str">
        <f>структура!$F$9</f>
        <v>народный гараж</v>
      </c>
      <c r="G178" s="1"/>
      <c r="H178" s="1" t="str">
        <f>H176</f>
        <v>тыс.руб.</v>
      </c>
      <c r="I178" s="1"/>
      <c r="J178" s="1"/>
      <c r="K178" s="1"/>
      <c r="L178" s="10" t="s">
        <v>10</v>
      </c>
      <c r="M178" s="30">
        <v>40</v>
      </c>
      <c r="N178" s="30">
        <v>40</v>
      </c>
      <c r="O178" s="30">
        <v>40</v>
      </c>
      <c r="P178" s="30">
        <v>40</v>
      </c>
      <c r="Q178" s="30">
        <v>40</v>
      </c>
      <c r="R178" s="30">
        <v>40</v>
      </c>
      <c r="S178" s="30">
        <v>40</v>
      </c>
      <c r="T178" s="30">
        <v>40</v>
      </c>
      <c r="U178" s="30">
        <v>40</v>
      </c>
      <c r="V178" s="30">
        <v>40</v>
      </c>
      <c r="W178" s="30">
        <v>40</v>
      </c>
      <c r="X178" s="30">
        <v>40</v>
      </c>
      <c r="Y178" s="30">
        <v>40</v>
      </c>
      <c r="Z178" s="30">
        <v>40</v>
      </c>
      <c r="AA178" s="30">
        <v>40</v>
      </c>
      <c r="AB178" s="30">
        <v>40</v>
      </c>
      <c r="AC178" s="30">
        <v>40</v>
      </c>
      <c r="AD178" s="30">
        <v>40</v>
      </c>
      <c r="AE178" s="30">
        <v>40</v>
      </c>
      <c r="AF178" s="30">
        <v>40</v>
      </c>
      <c r="AG178" s="30">
        <v>40</v>
      </c>
      <c r="AH178" s="30">
        <v>40</v>
      </c>
      <c r="AI178" s="30">
        <v>40</v>
      </c>
      <c r="AJ178" s="30">
        <v>40</v>
      </c>
      <c r="AK178" s="30">
        <v>40</v>
      </c>
      <c r="AL178" s="1"/>
      <c r="AM178" s="1"/>
    </row>
    <row r="179" spans="1:39" x14ac:dyDescent="0.25">
      <c r="A179" s="1"/>
      <c r="B179" s="1"/>
      <c r="C179" s="1"/>
      <c r="D179" s="7"/>
      <c r="E179" s="1"/>
      <c r="F179" s="6" t="str">
        <f>структура!$F$10</f>
        <v>хозяйственное ведение</v>
      </c>
      <c r="G179" s="1"/>
      <c r="H179" s="1" t="str">
        <f>H176</f>
        <v>тыс.руб.</v>
      </c>
      <c r="I179" s="1"/>
      <c r="J179" s="1"/>
      <c r="K179" s="1"/>
      <c r="L179" s="10" t="s">
        <v>10</v>
      </c>
      <c r="M179" s="30">
        <v>110</v>
      </c>
      <c r="N179" s="30">
        <v>110</v>
      </c>
      <c r="O179" s="30">
        <v>110</v>
      </c>
      <c r="P179" s="30">
        <v>110</v>
      </c>
      <c r="Q179" s="30">
        <v>110</v>
      </c>
      <c r="R179" s="30">
        <v>110</v>
      </c>
      <c r="S179" s="30">
        <v>110</v>
      </c>
      <c r="T179" s="30">
        <v>110</v>
      </c>
      <c r="U179" s="30">
        <v>110</v>
      </c>
      <c r="V179" s="30">
        <v>110</v>
      </c>
      <c r="W179" s="30">
        <v>110</v>
      </c>
      <c r="X179" s="30">
        <v>110</v>
      </c>
      <c r="Y179" s="30">
        <v>110</v>
      </c>
      <c r="Z179" s="30">
        <v>110</v>
      </c>
      <c r="AA179" s="30">
        <v>110</v>
      </c>
      <c r="AB179" s="30">
        <v>110</v>
      </c>
      <c r="AC179" s="30">
        <v>110</v>
      </c>
      <c r="AD179" s="30">
        <v>110</v>
      </c>
      <c r="AE179" s="30">
        <v>110</v>
      </c>
      <c r="AF179" s="30">
        <v>110</v>
      </c>
      <c r="AG179" s="30">
        <v>110</v>
      </c>
      <c r="AH179" s="30">
        <v>110</v>
      </c>
      <c r="AI179" s="30">
        <v>110</v>
      </c>
      <c r="AJ179" s="30">
        <v>110</v>
      </c>
      <c r="AK179" s="30">
        <v>110</v>
      </c>
      <c r="AL179" s="1"/>
      <c r="AM179" s="1"/>
    </row>
    <row r="180" spans="1:39" x14ac:dyDescent="0.25">
      <c r="A180" s="1"/>
      <c r="B180" s="1"/>
      <c r="C180" s="1"/>
      <c r="D180" s="7"/>
      <c r="E180" s="1"/>
      <c r="F180" s="1"/>
      <c r="G180" s="1"/>
      <c r="H180" s="1"/>
      <c r="I180" s="1"/>
      <c r="J180" s="1"/>
      <c r="K180" s="1"/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s="8" customFormat="1" x14ac:dyDescent="0.25">
      <c r="A181" s="7"/>
      <c r="B181" s="7"/>
      <c r="C181" s="7"/>
      <c r="D181" s="27"/>
      <c r="E181" s="7"/>
      <c r="F181" s="27" t="str">
        <f>KPI!$F$47</f>
        <v>маркетинговые расходы</v>
      </c>
      <c r="G181" s="7"/>
      <c r="H181" s="27" t="str">
        <f>INDEX(KPI!$H:$H,SUMIFS(KPI!$D:$D,KPI!$F:$F,$F181))</f>
        <v>тыс.руб.</v>
      </c>
      <c r="I181" s="7"/>
      <c r="J181" s="7"/>
      <c r="K181" s="7"/>
      <c r="L181" s="10"/>
      <c r="M181" s="28">
        <f>SUM(M182:M184)</f>
        <v>10720</v>
      </c>
      <c r="N181" s="28">
        <f t="shared" ref="N181:AK181" si="138">SUM(N182:N184)</f>
        <v>11360</v>
      </c>
      <c r="O181" s="28">
        <f t="shared" si="138"/>
        <v>11890</v>
      </c>
      <c r="P181" s="28">
        <f t="shared" si="138"/>
        <v>11930</v>
      </c>
      <c r="Q181" s="28">
        <f t="shared" si="138"/>
        <v>12390</v>
      </c>
      <c r="R181" s="28">
        <f t="shared" si="138"/>
        <v>13420</v>
      </c>
      <c r="S181" s="28">
        <f t="shared" si="138"/>
        <v>13850</v>
      </c>
      <c r="T181" s="28">
        <f t="shared" si="138"/>
        <v>14310</v>
      </c>
      <c r="U181" s="28">
        <f t="shared" si="138"/>
        <v>15030</v>
      </c>
      <c r="V181" s="28">
        <f t="shared" si="138"/>
        <v>15910</v>
      </c>
      <c r="W181" s="28">
        <f t="shared" si="138"/>
        <v>16180</v>
      </c>
      <c r="X181" s="28">
        <f t="shared" si="138"/>
        <v>16180</v>
      </c>
      <c r="Y181" s="28">
        <f t="shared" si="138"/>
        <v>16590</v>
      </c>
      <c r="Z181" s="28">
        <f t="shared" si="138"/>
        <v>16590</v>
      </c>
      <c r="AA181" s="28">
        <f t="shared" si="138"/>
        <v>16820</v>
      </c>
      <c r="AB181" s="28">
        <f t="shared" si="138"/>
        <v>17500</v>
      </c>
      <c r="AC181" s="28">
        <f t="shared" si="138"/>
        <v>17500</v>
      </c>
      <c r="AD181" s="28">
        <f t="shared" si="138"/>
        <v>17500</v>
      </c>
      <c r="AE181" s="28">
        <f t="shared" si="138"/>
        <v>17500</v>
      </c>
      <c r="AF181" s="28">
        <f t="shared" si="138"/>
        <v>17500</v>
      </c>
      <c r="AG181" s="28">
        <f t="shared" si="138"/>
        <v>17500</v>
      </c>
      <c r="AH181" s="28">
        <f t="shared" si="138"/>
        <v>17500</v>
      </c>
      <c r="AI181" s="28">
        <f t="shared" si="138"/>
        <v>17500</v>
      </c>
      <c r="AJ181" s="28">
        <f t="shared" si="138"/>
        <v>17500</v>
      </c>
      <c r="AK181" s="28">
        <f t="shared" si="138"/>
        <v>17500</v>
      </c>
      <c r="AL181" s="7"/>
      <c r="AM181" s="7"/>
    </row>
    <row r="182" spans="1:39" s="4" customFormat="1" ht="10.199999999999999" x14ac:dyDescent="0.2">
      <c r="A182" s="3"/>
      <c r="B182" s="3"/>
      <c r="C182" s="3"/>
      <c r="D182" s="9"/>
      <c r="E182" s="3"/>
      <c r="F182" s="5" t="str">
        <f>структура!$H$9</f>
        <v>в т.ч.</v>
      </c>
      <c r="G182" s="3"/>
      <c r="H182" s="3"/>
      <c r="I182" s="3"/>
      <c r="J182" s="3"/>
      <c r="K182" s="3"/>
      <c r="L182" s="1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5">
      <c r="A183" s="1"/>
      <c r="B183" s="1"/>
      <c r="C183" s="1"/>
      <c r="D183" s="7"/>
      <c r="E183" s="1"/>
      <c r="F183" s="6" t="str">
        <f>структура!$F$9</f>
        <v>народный гараж</v>
      </c>
      <c r="G183" s="1"/>
      <c r="H183" s="1" t="str">
        <f>H181</f>
        <v>тыс.руб.</v>
      </c>
      <c r="I183" s="1"/>
      <c r="J183" s="1"/>
      <c r="K183" s="1"/>
      <c r="L183" s="10"/>
      <c r="M183" s="18">
        <f>M12*M178</f>
        <v>3680</v>
      </c>
      <c r="N183" s="18">
        <f t="shared" ref="N183:AK183" si="139">N12*N178</f>
        <v>3880</v>
      </c>
      <c r="O183" s="18">
        <f t="shared" si="139"/>
        <v>4080</v>
      </c>
      <c r="P183" s="18">
        <f t="shared" si="139"/>
        <v>4120</v>
      </c>
      <c r="Q183" s="18">
        <f t="shared" si="139"/>
        <v>4360</v>
      </c>
      <c r="R183" s="18">
        <f t="shared" si="139"/>
        <v>4400</v>
      </c>
      <c r="S183" s="18">
        <f t="shared" si="139"/>
        <v>4720</v>
      </c>
      <c r="T183" s="18">
        <f t="shared" si="139"/>
        <v>4960</v>
      </c>
      <c r="U183" s="18">
        <f t="shared" si="139"/>
        <v>5240</v>
      </c>
      <c r="V183" s="18">
        <f t="shared" si="139"/>
        <v>5680</v>
      </c>
      <c r="W183" s="18">
        <f t="shared" si="139"/>
        <v>5840</v>
      </c>
      <c r="X183" s="18">
        <f t="shared" si="139"/>
        <v>5840</v>
      </c>
      <c r="Y183" s="18">
        <f t="shared" si="139"/>
        <v>5920</v>
      </c>
      <c r="Z183" s="18">
        <f t="shared" si="139"/>
        <v>5920</v>
      </c>
      <c r="AA183" s="18">
        <f t="shared" si="139"/>
        <v>6040</v>
      </c>
      <c r="AB183" s="18">
        <f t="shared" si="139"/>
        <v>6280</v>
      </c>
      <c r="AC183" s="18">
        <f t="shared" si="139"/>
        <v>6280</v>
      </c>
      <c r="AD183" s="18">
        <f t="shared" si="139"/>
        <v>6280</v>
      </c>
      <c r="AE183" s="18">
        <f t="shared" si="139"/>
        <v>6280</v>
      </c>
      <c r="AF183" s="18">
        <f t="shared" si="139"/>
        <v>6280</v>
      </c>
      <c r="AG183" s="18">
        <f t="shared" si="139"/>
        <v>6280</v>
      </c>
      <c r="AH183" s="18">
        <f t="shared" si="139"/>
        <v>6280</v>
      </c>
      <c r="AI183" s="18">
        <f t="shared" si="139"/>
        <v>6280</v>
      </c>
      <c r="AJ183" s="18">
        <f t="shared" si="139"/>
        <v>6280</v>
      </c>
      <c r="AK183" s="18">
        <f t="shared" si="139"/>
        <v>6280</v>
      </c>
      <c r="AL183" s="1"/>
      <c r="AM183" s="1"/>
    </row>
    <row r="184" spans="1:39" x14ac:dyDescent="0.25">
      <c r="A184" s="1"/>
      <c r="B184" s="1"/>
      <c r="C184" s="1"/>
      <c r="D184" s="7"/>
      <c r="E184" s="1"/>
      <c r="F184" s="6" t="str">
        <f>структура!$F$10</f>
        <v>хозяйственное ведение</v>
      </c>
      <c r="G184" s="1"/>
      <c r="H184" s="1" t="str">
        <f>H181</f>
        <v>тыс.руб.</v>
      </c>
      <c r="I184" s="1"/>
      <c r="J184" s="1"/>
      <c r="K184" s="1"/>
      <c r="L184" s="10"/>
      <c r="M184" s="18">
        <f>M13*M179</f>
        <v>7040</v>
      </c>
      <c r="N184" s="18">
        <f t="shared" ref="N184:AK184" si="140">N13*N179</f>
        <v>7480</v>
      </c>
      <c r="O184" s="18">
        <f t="shared" si="140"/>
        <v>7810</v>
      </c>
      <c r="P184" s="18">
        <f t="shared" si="140"/>
        <v>7810</v>
      </c>
      <c r="Q184" s="18">
        <f t="shared" si="140"/>
        <v>8030</v>
      </c>
      <c r="R184" s="18">
        <f t="shared" si="140"/>
        <v>9020</v>
      </c>
      <c r="S184" s="18">
        <f t="shared" si="140"/>
        <v>9130</v>
      </c>
      <c r="T184" s="18">
        <f t="shared" si="140"/>
        <v>9350</v>
      </c>
      <c r="U184" s="18">
        <f t="shared" si="140"/>
        <v>9790</v>
      </c>
      <c r="V184" s="18">
        <f t="shared" si="140"/>
        <v>10230</v>
      </c>
      <c r="W184" s="18">
        <f t="shared" si="140"/>
        <v>10340</v>
      </c>
      <c r="X184" s="18">
        <f t="shared" si="140"/>
        <v>10340</v>
      </c>
      <c r="Y184" s="18">
        <f t="shared" si="140"/>
        <v>10670</v>
      </c>
      <c r="Z184" s="18">
        <f t="shared" si="140"/>
        <v>10670</v>
      </c>
      <c r="AA184" s="18">
        <f t="shared" si="140"/>
        <v>10780</v>
      </c>
      <c r="AB184" s="18">
        <f t="shared" si="140"/>
        <v>11220</v>
      </c>
      <c r="AC184" s="18">
        <f t="shared" si="140"/>
        <v>11220</v>
      </c>
      <c r="AD184" s="18">
        <f t="shared" si="140"/>
        <v>11220</v>
      </c>
      <c r="AE184" s="18">
        <f t="shared" si="140"/>
        <v>11220</v>
      </c>
      <c r="AF184" s="18">
        <f t="shared" si="140"/>
        <v>11220</v>
      </c>
      <c r="AG184" s="18">
        <f t="shared" si="140"/>
        <v>11220</v>
      </c>
      <c r="AH184" s="18">
        <f t="shared" si="140"/>
        <v>11220</v>
      </c>
      <c r="AI184" s="18">
        <f t="shared" si="140"/>
        <v>11220</v>
      </c>
      <c r="AJ184" s="18">
        <f t="shared" si="140"/>
        <v>11220</v>
      </c>
      <c r="AK184" s="18">
        <f t="shared" si="140"/>
        <v>11220</v>
      </c>
      <c r="AL184" s="1"/>
      <c r="AM184" s="1"/>
    </row>
    <row r="185" spans="1:39" x14ac:dyDescent="0.25">
      <c r="A185" s="1"/>
      <c r="B185" s="1"/>
      <c r="C185" s="1"/>
      <c r="D185" s="7"/>
      <c r="E185" s="1"/>
      <c r="F185" s="1"/>
      <c r="G185" s="1"/>
      <c r="H185" s="1"/>
      <c r="I185" s="1"/>
      <c r="J185" s="1"/>
      <c r="K185" s="1"/>
      <c r="L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s="8" customFormat="1" x14ac:dyDescent="0.25">
      <c r="A186" s="7"/>
      <c r="B186" s="7"/>
      <c r="C186" s="7"/>
      <c r="D186" s="7" t="str">
        <f>структура!$D$15</f>
        <v>Списания ДС</v>
      </c>
      <c r="E186" s="7"/>
      <c r="F186" s="7" t="str">
        <f>KPI!$F$48</f>
        <v>распределение платежей за маркетинг</v>
      </c>
      <c r="G186" s="7"/>
      <c r="H186" s="7" t="str">
        <f>INDEX(KPI!$H:$H,SUMIFS(KPI!$D:$D,KPI!$F:$F,$F186))</f>
        <v>%</v>
      </c>
      <c r="I186" s="7"/>
      <c r="J186" s="7"/>
      <c r="K186" s="7"/>
      <c r="L186" s="10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7"/>
      <c r="AM186" s="7"/>
    </row>
    <row r="187" spans="1:39" s="4" customFormat="1" ht="10.199999999999999" x14ac:dyDescent="0.2">
      <c r="A187" s="3"/>
      <c r="B187" s="3"/>
      <c r="C187" s="3"/>
      <c r="D187" s="9"/>
      <c r="E187" s="3"/>
      <c r="F187" s="5" t="str">
        <f>структура!$H$9</f>
        <v>в т.ч.</v>
      </c>
      <c r="G187" s="3"/>
      <c r="H187" s="3"/>
      <c r="I187" s="3"/>
      <c r="J187" s="3"/>
      <c r="K187" s="3"/>
      <c r="L187" s="1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5">
      <c r="A188" s="1"/>
      <c r="B188" s="1"/>
      <c r="C188" s="1"/>
      <c r="D188" s="7"/>
      <c r="E188" s="1"/>
      <c r="F188" s="6" t="str">
        <f>структура!$F$9</f>
        <v>народный гараж</v>
      </c>
      <c r="G188" s="1"/>
      <c r="H188" s="1" t="str">
        <f>H186</f>
        <v>%</v>
      </c>
      <c r="I188" s="1"/>
      <c r="J188" s="1"/>
      <c r="K188" s="1"/>
      <c r="L188" s="10" t="s">
        <v>10</v>
      </c>
      <c r="M188" s="24">
        <v>0.2</v>
      </c>
      <c r="N188" s="24">
        <v>0.6</v>
      </c>
      <c r="O188" s="24">
        <v>0.2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5">
        <v>0</v>
      </c>
      <c r="AK188" s="26">
        <f>100%-SUM(M188:AJ188)</f>
        <v>0</v>
      </c>
      <c r="AL188" s="1"/>
      <c r="AM188" s="1"/>
    </row>
    <row r="189" spans="1:39" x14ac:dyDescent="0.25">
      <c r="A189" s="1"/>
      <c r="B189" s="1"/>
      <c r="C189" s="1"/>
      <c r="D189" s="7"/>
      <c r="E189" s="1"/>
      <c r="F189" s="6" t="str">
        <f>структура!$F$10</f>
        <v>хозяйственное ведение</v>
      </c>
      <c r="G189" s="1"/>
      <c r="H189" s="1" t="str">
        <f>H186</f>
        <v>%</v>
      </c>
      <c r="I189" s="1"/>
      <c r="J189" s="1"/>
      <c r="K189" s="1"/>
      <c r="L189" s="10" t="s">
        <v>10</v>
      </c>
      <c r="M189" s="24">
        <v>0.2</v>
      </c>
      <c r="N189" s="24">
        <v>0.6</v>
      </c>
      <c r="O189" s="24">
        <v>0.2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5">
        <v>0</v>
      </c>
      <c r="AK189" s="26">
        <f>100%-SUM(M189:AJ189)</f>
        <v>0</v>
      </c>
      <c r="AL189" s="1"/>
      <c r="AM189" s="1"/>
    </row>
    <row r="190" spans="1:39" x14ac:dyDescent="0.25">
      <c r="A190" s="1"/>
      <c r="B190" s="1"/>
      <c r="C190" s="1"/>
      <c r="D190" s="7"/>
      <c r="E190" s="1"/>
      <c r="F190" s="1"/>
      <c r="G190" s="1"/>
      <c r="H190" s="1"/>
      <c r="I190" s="1"/>
      <c r="J190" s="1"/>
      <c r="K190" s="1"/>
      <c r="L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s="8" customFormat="1" x14ac:dyDescent="0.25">
      <c r="A191" s="7"/>
      <c r="B191" s="7"/>
      <c r="C191" s="7"/>
      <c r="D191" s="7"/>
      <c r="E191" s="7"/>
      <c r="F191" s="7" t="str">
        <f>KPI!$F$49</f>
        <v>обратное распр-ние платежей за маркетинг</v>
      </c>
      <c r="G191" s="7"/>
      <c r="H191" s="7" t="str">
        <f>INDEX(KPI!$H:$H,SUMIFS(KPI!$D:$D,KPI!$F:$F,$F191))</f>
        <v>%</v>
      </c>
      <c r="I191" s="7"/>
      <c r="J191" s="7"/>
      <c r="K191" s="7"/>
      <c r="L191" s="10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7"/>
      <c r="AM191" s="7"/>
    </row>
    <row r="192" spans="1:39" s="4" customFormat="1" ht="10.199999999999999" x14ac:dyDescent="0.2">
      <c r="A192" s="3"/>
      <c r="B192" s="3"/>
      <c r="C192" s="3"/>
      <c r="D192" s="9"/>
      <c r="E192" s="3"/>
      <c r="F192" s="5" t="str">
        <f>структура!$H$9</f>
        <v>в т.ч.</v>
      </c>
      <c r="G192" s="3"/>
      <c r="H192" s="3"/>
      <c r="I192" s="3"/>
      <c r="J192" s="3"/>
      <c r="K192" s="3"/>
      <c r="L192" s="1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5">
      <c r="A193" s="1"/>
      <c r="B193" s="1"/>
      <c r="C193" s="1"/>
      <c r="D193" s="7"/>
      <c r="E193" s="1"/>
      <c r="F193" s="6" t="str">
        <f>структура!$F$9</f>
        <v>народный гараж</v>
      </c>
      <c r="G193" s="1"/>
      <c r="H193" s="1" t="str">
        <f>H191</f>
        <v>%</v>
      </c>
      <c r="I193" s="1"/>
      <c r="J193" s="1"/>
      <c r="K193" s="1"/>
      <c r="L193" s="10"/>
      <c r="M193" s="23">
        <f t="shared" ref="M193:AK193" si="141">SUMIFS(188:188,$1:$1,M$2)</f>
        <v>0</v>
      </c>
      <c r="N193" s="23">
        <f t="shared" si="141"/>
        <v>0</v>
      </c>
      <c r="O193" s="23">
        <f t="shared" si="141"/>
        <v>0</v>
      </c>
      <c r="P193" s="23">
        <f t="shared" si="141"/>
        <v>0</v>
      </c>
      <c r="Q193" s="23">
        <f t="shared" si="141"/>
        <v>0</v>
      </c>
      <c r="R193" s="23">
        <f t="shared" si="141"/>
        <v>0</v>
      </c>
      <c r="S193" s="23">
        <f t="shared" si="141"/>
        <v>0</v>
      </c>
      <c r="T193" s="23">
        <f t="shared" si="141"/>
        <v>0</v>
      </c>
      <c r="U193" s="23">
        <f t="shared" si="141"/>
        <v>0</v>
      </c>
      <c r="V193" s="23">
        <f t="shared" si="141"/>
        <v>0</v>
      </c>
      <c r="W193" s="23">
        <f t="shared" si="141"/>
        <v>0</v>
      </c>
      <c r="X193" s="23">
        <f t="shared" si="141"/>
        <v>0</v>
      </c>
      <c r="Y193" s="23">
        <f t="shared" si="141"/>
        <v>0</v>
      </c>
      <c r="Z193" s="23">
        <f t="shared" si="141"/>
        <v>0</v>
      </c>
      <c r="AA193" s="23">
        <f t="shared" si="141"/>
        <v>0</v>
      </c>
      <c r="AB193" s="23">
        <f t="shared" si="141"/>
        <v>0</v>
      </c>
      <c r="AC193" s="23">
        <f t="shared" si="141"/>
        <v>0</v>
      </c>
      <c r="AD193" s="23">
        <f t="shared" si="141"/>
        <v>0</v>
      </c>
      <c r="AE193" s="23">
        <f t="shared" si="141"/>
        <v>0</v>
      </c>
      <c r="AF193" s="23">
        <f t="shared" si="141"/>
        <v>0</v>
      </c>
      <c r="AG193" s="23">
        <f t="shared" si="141"/>
        <v>0</v>
      </c>
      <c r="AH193" s="23">
        <f t="shared" si="141"/>
        <v>0</v>
      </c>
      <c r="AI193" s="23">
        <f t="shared" si="141"/>
        <v>0.2</v>
      </c>
      <c r="AJ193" s="23">
        <f t="shared" si="141"/>
        <v>0.6</v>
      </c>
      <c r="AK193" s="23">
        <f t="shared" si="141"/>
        <v>0.2</v>
      </c>
      <c r="AL193" s="1"/>
      <c r="AM193" s="1"/>
    </row>
    <row r="194" spans="1:39" x14ac:dyDescent="0.25">
      <c r="A194" s="1"/>
      <c r="B194" s="1"/>
      <c r="C194" s="1"/>
      <c r="D194" s="7"/>
      <c r="E194" s="1"/>
      <c r="F194" s="6" t="str">
        <f>структура!$F$10</f>
        <v>хозяйственное ведение</v>
      </c>
      <c r="G194" s="1"/>
      <c r="H194" s="1" t="str">
        <f>H191</f>
        <v>%</v>
      </c>
      <c r="I194" s="1"/>
      <c r="J194" s="1"/>
      <c r="K194" s="1"/>
      <c r="L194" s="10"/>
      <c r="M194" s="23">
        <f t="shared" ref="M194:AK194" si="142">SUMIFS(189:189,$1:$1,M$2)</f>
        <v>0</v>
      </c>
      <c r="N194" s="23">
        <f t="shared" si="142"/>
        <v>0</v>
      </c>
      <c r="O194" s="23">
        <f t="shared" si="142"/>
        <v>0</v>
      </c>
      <c r="P194" s="23">
        <f t="shared" si="142"/>
        <v>0</v>
      </c>
      <c r="Q194" s="23">
        <f t="shared" si="142"/>
        <v>0</v>
      </c>
      <c r="R194" s="23">
        <f t="shared" si="142"/>
        <v>0</v>
      </c>
      <c r="S194" s="23">
        <f t="shared" si="142"/>
        <v>0</v>
      </c>
      <c r="T194" s="23">
        <f t="shared" si="142"/>
        <v>0</v>
      </c>
      <c r="U194" s="23">
        <f t="shared" si="142"/>
        <v>0</v>
      </c>
      <c r="V194" s="23">
        <f t="shared" si="142"/>
        <v>0</v>
      </c>
      <c r="W194" s="23">
        <f t="shared" si="142"/>
        <v>0</v>
      </c>
      <c r="X194" s="23">
        <f t="shared" si="142"/>
        <v>0</v>
      </c>
      <c r="Y194" s="23">
        <f t="shared" si="142"/>
        <v>0</v>
      </c>
      <c r="Z194" s="23">
        <f t="shared" si="142"/>
        <v>0</v>
      </c>
      <c r="AA194" s="23">
        <f t="shared" si="142"/>
        <v>0</v>
      </c>
      <c r="AB194" s="23">
        <f t="shared" si="142"/>
        <v>0</v>
      </c>
      <c r="AC194" s="23">
        <f t="shared" si="142"/>
        <v>0</v>
      </c>
      <c r="AD194" s="23">
        <f t="shared" si="142"/>
        <v>0</v>
      </c>
      <c r="AE194" s="23">
        <f t="shared" si="142"/>
        <v>0</v>
      </c>
      <c r="AF194" s="23">
        <f t="shared" si="142"/>
        <v>0</v>
      </c>
      <c r="AG194" s="23">
        <f t="shared" si="142"/>
        <v>0</v>
      </c>
      <c r="AH194" s="23">
        <f t="shared" si="142"/>
        <v>0</v>
      </c>
      <c r="AI194" s="23">
        <f t="shared" si="142"/>
        <v>0.2</v>
      </c>
      <c r="AJ194" s="23">
        <f t="shared" si="142"/>
        <v>0.6</v>
      </c>
      <c r="AK194" s="23">
        <f t="shared" si="142"/>
        <v>0.2</v>
      </c>
      <c r="AL194" s="1"/>
      <c r="AM194" s="1"/>
    </row>
    <row r="195" spans="1:39" x14ac:dyDescent="0.25">
      <c r="A195" s="1"/>
      <c r="B195" s="1"/>
      <c r="C195" s="1"/>
      <c r="D195" s="7"/>
      <c r="E195" s="1"/>
      <c r="F195" s="1"/>
      <c r="G195" s="1"/>
      <c r="H195" s="1"/>
      <c r="I195" s="1"/>
      <c r="J195" s="1"/>
      <c r="K195" s="1"/>
      <c r="L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s="8" customFormat="1" x14ac:dyDescent="0.25">
      <c r="A196" s="7"/>
      <c r="B196" s="7"/>
      <c r="C196" s="7"/>
      <c r="D196" s="27" t="str">
        <f>структура!$D$16</f>
        <v>CFOut</v>
      </c>
      <c r="E196" s="7"/>
      <c r="F196" s="27" t="str">
        <f>KPI!$F$50</f>
        <v>оплата маркетинговых расходов</v>
      </c>
      <c r="G196" s="7"/>
      <c r="H196" s="27" t="str">
        <f>INDEX(KPI!$H:$H,SUMIFS(KPI!$D:$D,KPI!$F:$F,$F196))</f>
        <v>тыс.руб.</v>
      </c>
      <c r="I196" s="7"/>
      <c r="J196" s="7"/>
      <c r="K196" s="7"/>
      <c r="L196" s="10"/>
      <c r="M196" s="28">
        <f>SUM(M197:M199)</f>
        <v>2144</v>
      </c>
      <c r="N196" s="28">
        <f t="shared" ref="N196:AK196" si="143">SUM(N197:N199)</f>
        <v>8704</v>
      </c>
      <c r="O196" s="28">
        <f t="shared" si="143"/>
        <v>11338</v>
      </c>
      <c r="P196" s="28">
        <f t="shared" si="143"/>
        <v>11792</v>
      </c>
      <c r="Q196" s="28">
        <f t="shared" si="143"/>
        <v>12014</v>
      </c>
      <c r="R196" s="28">
        <f t="shared" si="143"/>
        <v>12504</v>
      </c>
      <c r="S196" s="28">
        <f t="shared" si="143"/>
        <v>13300</v>
      </c>
      <c r="T196" s="28">
        <f t="shared" si="143"/>
        <v>13856</v>
      </c>
      <c r="U196" s="28">
        <f t="shared" si="143"/>
        <v>14362</v>
      </c>
      <c r="V196" s="28">
        <f t="shared" si="143"/>
        <v>15062</v>
      </c>
      <c r="W196" s="28">
        <f t="shared" si="143"/>
        <v>15788</v>
      </c>
      <c r="X196" s="28">
        <f t="shared" si="143"/>
        <v>16126</v>
      </c>
      <c r="Y196" s="28">
        <f t="shared" si="143"/>
        <v>16262</v>
      </c>
      <c r="Z196" s="28">
        <f t="shared" si="143"/>
        <v>16508</v>
      </c>
      <c r="AA196" s="28">
        <f t="shared" si="143"/>
        <v>16636</v>
      </c>
      <c r="AB196" s="28">
        <f t="shared" si="143"/>
        <v>16910</v>
      </c>
      <c r="AC196" s="28">
        <f t="shared" si="143"/>
        <v>17364</v>
      </c>
      <c r="AD196" s="28">
        <f t="shared" si="143"/>
        <v>17500</v>
      </c>
      <c r="AE196" s="28">
        <f t="shared" si="143"/>
        <v>17500</v>
      </c>
      <c r="AF196" s="28">
        <f t="shared" si="143"/>
        <v>17500</v>
      </c>
      <c r="AG196" s="28">
        <f t="shared" si="143"/>
        <v>17500</v>
      </c>
      <c r="AH196" s="28">
        <f t="shared" si="143"/>
        <v>17500</v>
      </c>
      <c r="AI196" s="28">
        <f t="shared" si="143"/>
        <v>17500</v>
      </c>
      <c r="AJ196" s="28">
        <f t="shared" si="143"/>
        <v>17500</v>
      </c>
      <c r="AK196" s="28">
        <f t="shared" si="143"/>
        <v>17500</v>
      </c>
      <c r="AL196" s="7"/>
      <c r="AM196" s="7"/>
    </row>
    <row r="197" spans="1:39" s="4" customFormat="1" ht="10.199999999999999" x14ac:dyDescent="0.2">
      <c r="A197" s="3"/>
      <c r="B197" s="3"/>
      <c r="C197" s="3"/>
      <c r="D197" s="9"/>
      <c r="E197" s="3"/>
      <c r="F197" s="5" t="str">
        <f>структура!$H$9</f>
        <v>в т.ч.</v>
      </c>
      <c r="G197" s="3"/>
      <c r="H197" s="3"/>
      <c r="I197" s="3"/>
      <c r="J197" s="3"/>
      <c r="K197" s="3"/>
      <c r="L197" s="1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5">
      <c r="A198" s="1"/>
      <c r="B198" s="1"/>
      <c r="C198" s="1"/>
      <c r="D198" s="7"/>
      <c r="E198" s="1"/>
      <c r="F198" s="6" t="str">
        <f>структура!$F$9</f>
        <v>народный гараж</v>
      </c>
      <c r="G198" s="1"/>
      <c r="H198" s="1" t="str">
        <f>H196</f>
        <v>тыс.руб.</v>
      </c>
      <c r="I198" s="1"/>
      <c r="J198" s="1"/>
      <c r="K198" s="1"/>
      <c r="L198" s="10"/>
      <c r="M198" s="18">
        <f>SUMPRODUCT(M183:M183,AK193)</f>
        <v>736</v>
      </c>
      <c r="N198" s="18">
        <f>SUMPRODUCT(M183:N183,AJ193:AK193)</f>
        <v>2984</v>
      </c>
      <c r="O198" s="18">
        <f>SUMPRODUCT(M183:O183,AI193:AK193)</f>
        <v>3880</v>
      </c>
      <c r="P198" s="18">
        <f>SUMPRODUCT(M183:P183,AH193:AK193)</f>
        <v>4048</v>
      </c>
      <c r="Q198" s="18">
        <f>SUMPRODUCT(M183:Q183,AG193:AK193)</f>
        <v>4160</v>
      </c>
      <c r="R198" s="18">
        <f>SUMPRODUCT(M183:R183,AF193:AK193)</f>
        <v>4320</v>
      </c>
      <c r="S198" s="18">
        <f>SUMPRODUCT(M183:S183,AE193:AK193)</f>
        <v>4456</v>
      </c>
      <c r="T198" s="18">
        <f>SUMPRODUCT(M183:T183,AD193:AK193)</f>
        <v>4704</v>
      </c>
      <c r="U198" s="18">
        <f>SUMPRODUCT(M183:U183,AC193:AK193)</f>
        <v>4968</v>
      </c>
      <c r="V198" s="18">
        <f>SUMPRODUCT(M183:V183,AB193:AK193)</f>
        <v>5272</v>
      </c>
      <c r="W198" s="18">
        <f>SUMPRODUCT(M183:W183,AA193:AK193)</f>
        <v>5624</v>
      </c>
      <c r="X198" s="18">
        <f>SUMPRODUCT(M183:X183,Z193:AK193)</f>
        <v>5808</v>
      </c>
      <c r="Y198" s="18">
        <f>SUMPRODUCT(M183:Y183,Y193:AK193)</f>
        <v>5856</v>
      </c>
      <c r="Z198" s="18">
        <f>SUMPRODUCT(M183:Z183,X193:AK193)</f>
        <v>5904</v>
      </c>
      <c r="AA198" s="18">
        <f>SUMPRODUCT(M183:AA183,W193:AK193)</f>
        <v>5944</v>
      </c>
      <c r="AB198" s="18">
        <f>SUMPRODUCT(M183:AB183,V193:AK193)</f>
        <v>6064</v>
      </c>
      <c r="AC198" s="18">
        <f>SUMPRODUCT(M183:AC183,U193:AK193)</f>
        <v>6232</v>
      </c>
      <c r="AD198" s="18">
        <f>SUMPRODUCT(M183:AD183,T193:AK193)</f>
        <v>6280</v>
      </c>
      <c r="AE198" s="18">
        <f>SUMPRODUCT(M183:AE183,S193:AK193)</f>
        <v>6280</v>
      </c>
      <c r="AF198" s="18">
        <f>SUMPRODUCT(M183:AF183,R193:AK193)</f>
        <v>6280</v>
      </c>
      <c r="AG198" s="18">
        <f>SUMPRODUCT(M183:AG183,Q193:AK193)</f>
        <v>6280</v>
      </c>
      <c r="AH198" s="18">
        <f>SUMPRODUCT(M183:AH183,P193:AK193)</f>
        <v>6280</v>
      </c>
      <c r="AI198" s="18">
        <f>SUMPRODUCT(M183:AI183,O193:AK193)</f>
        <v>6280</v>
      </c>
      <c r="AJ198" s="18">
        <f>SUMPRODUCT(M183:AJ183,N193:AK193)</f>
        <v>6280</v>
      </c>
      <c r="AK198" s="18">
        <f>SUMPRODUCT(M183:AK183,M193:AK193)</f>
        <v>6280</v>
      </c>
      <c r="AL198" s="1"/>
      <c r="AM198" s="1"/>
    </row>
    <row r="199" spans="1:39" x14ac:dyDescent="0.25">
      <c r="A199" s="1"/>
      <c r="B199" s="1"/>
      <c r="C199" s="1"/>
      <c r="D199" s="7"/>
      <c r="E199" s="1"/>
      <c r="F199" s="6" t="str">
        <f>структура!$F$10</f>
        <v>хозяйственное ведение</v>
      </c>
      <c r="G199" s="1"/>
      <c r="H199" s="1" t="str">
        <f>H196</f>
        <v>тыс.руб.</v>
      </c>
      <c r="I199" s="1"/>
      <c r="J199" s="1"/>
      <c r="K199" s="1"/>
      <c r="L199" s="10"/>
      <c r="M199" s="18">
        <f>SUMPRODUCT(M184:M184,AK194)</f>
        <v>1408</v>
      </c>
      <c r="N199" s="18">
        <f>SUMPRODUCT(M184:N184,AJ194:AK194)</f>
        <v>5720</v>
      </c>
      <c r="O199" s="18">
        <f>SUMPRODUCT(M184:O184,AI194:AK194)</f>
        <v>7458</v>
      </c>
      <c r="P199" s="18">
        <f>SUMPRODUCT(M184:P184,AH194:AK194)</f>
        <v>7744</v>
      </c>
      <c r="Q199" s="18">
        <f>SUMPRODUCT(M184:Q184,AG194:AK194)</f>
        <v>7854</v>
      </c>
      <c r="R199" s="18">
        <f>SUMPRODUCT(M184:R184,AF194:AK194)</f>
        <v>8184</v>
      </c>
      <c r="S199" s="18">
        <f>SUMPRODUCT(M184:S184,AE194:AK194)</f>
        <v>8844</v>
      </c>
      <c r="T199" s="18">
        <f>SUMPRODUCT(M184:T184,AD194:AK194)</f>
        <v>9152</v>
      </c>
      <c r="U199" s="18">
        <f>SUMPRODUCT(M184:U184,AC194:AK194)</f>
        <v>9394</v>
      </c>
      <c r="V199" s="18">
        <f>SUMPRODUCT(M184:V184,AB194:AK194)</f>
        <v>9790</v>
      </c>
      <c r="W199" s="18">
        <f>SUMPRODUCT(M184:W184,AA194:AK194)</f>
        <v>10164</v>
      </c>
      <c r="X199" s="18">
        <f>SUMPRODUCT(M184:X184,Z194:AK194)</f>
        <v>10318</v>
      </c>
      <c r="Y199" s="18">
        <f>SUMPRODUCT(M184:Y184,Y194:AK194)</f>
        <v>10406</v>
      </c>
      <c r="Z199" s="18">
        <f>SUMPRODUCT(M184:Z184,X194:AK194)</f>
        <v>10604</v>
      </c>
      <c r="AA199" s="18">
        <f>SUMPRODUCT(M184:AA184,W194:AK194)</f>
        <v>10692</v>
      </c>
      <c r="AB199" s="18">
        <f>SUMPRODUCT(M184:AB184,V194:AK194)</f>
        <v>10846</v>
      </c>
      <c r="AC199" s="18">
        <f>SUMPRODUCT(M184:AC184,U194:AK194)</f>
        <v>11132</v>
      </c>
      <c r="AD199" s="18">
        <f>SUMPRODUCT(M184:AD184,T194:AK194)</f>
        <v>11220</v>
      </c>
      <c r="AE199" s="18">
        <f>SUMPRODUCT(M184:AE184,S194:AK194)</f>
        <v>11220</v>
      </c>
      <c r="AF199" s="18">
        <f>SUMPRODUCT(M184:AF184,R194:AK194)</f>
        <v>11220</v>
      </c>
      <c r="AG199" s="18">
        <f>SUMPRODUCT(M184:AG184,Q194:AK194)</f>
        <v>11220</v>
      </c>
      <c r="AH199" s="18">
        <f>SUMPRODUCT(M184:AH184,P194:AK194)</f>
        <v>11220</v>
      </c>
      <c r="AI199" s="18">
        <f>SUMPRODUCT(M184:AI184,O194:AK194)</f>
        <v>11220</v>
      </c>
      <c r="AJ199" s="18">
        <f>SUMPRODUCT(M184:AJ184,N194:AK194)</f>
        <v>11220</v>
      </c>
      <c r="AK199" s="18">
        <f>SUMPRODUCT(M184:AK184,M194:AK194)</f>
        <v>11220</v>
      </c>
      <c r="AL199" s="1"/>
      <c r="AM199" s="1"/>
    </row>
    <row r="200" spans="1:39" x14ac:dyDescent="0.25">
      <c r="A200" s="1"/>
      <c r="B200" s="1"/>
      <c r="C200" s="1"/>
      <c r="D200" s="7"/>
      <c r="E200" s="1"/>
      <c r="F200" s="1"/>
      <c r="G200" s="1"/>
      <c r="H200" s="1"/>
      <c r="I200" s="1"/>
      <c r="J200" s="1"/>
      <c r="K200" s="1"/>
      <c r="L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s="8" customFormat="1" x14ac:dyDescent="0.25">
      <c r="A201" s="7"/>
      <c r="B201" s="7"/>
      <c r="C201" s="7"/>
      <c r="D201" s="7"/>
      <c r="E201" s="7"/>
      <c r="F201" s="7" t="str">
        <f>KPI!$F$51</f>
        <v>расходы на ТО парковочного оборудования на одну парковку</v>
      </c>
      <c r="G201" s="7"/>
      <c r="H201" s="7" t="str">
        <f>INDEX(KPI!$H:$H,SUMIFS(KPI!$D:$D,KPI!$F:$F,$F201))</f>
        <v>тыс.руб.</v>
      </c>
      <c r="I201" s="7"/>
      <c r="J201" s="7"/>
      <c r="K201" s="7"/>
      <c r="L201" s="10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7"/>
      <c r="AM201" s="7"/>
    </row>
    <row r="202" spans="1:39" s="4" customFormat="1" ht="10.199999999999999" x14ac:dyDescent="0.2">
      <c r="A202" s="3"/>
      <c r="B202" s="3"/>
      <c r="C202" s="3"/>
      <c r="D202" s="9"/>
      <c r="E202" s="3"/>
      <c r="F202" s="5" t="str">
        <f>структура!$H$9</f>
        <v>в т.ч.</v>
      </c>
      <c r="G202" s="3"/>
      <c r="H202" s="3"/>
      <c r="I202" s="3"/>
      <c r="J202" s="3"/>
      <c r="K202" s="3"/>
      <c r="L202" s="1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5">
      <c r="A203" s="1"/>
      <c r="B203" s="1"/>
      <c r="C203" s="1"/>
      <c r="D203" s="7"/>
      <c r="E203" s="1"/>
      <c r="F203" s="6" t="str">
        <f>структура!$F$9</f>
        <v>народный гараж</v>
      </c>
      <c r="G203" s="1"/>
      <c r="H203" s="1" t="str">
        <f>H201</f>
        <v>тыс.руб.</v>
      </c>
      <c r="I203" s="1"/>
      <c r="J203" s="1"/>
      <c r="K203" s="1"/>
      <c r="L203" s="10" t="s">
        <v>10</v>
      </c>
      <c r="M203" s="30">
        <v>12</v>
      </c>
      <c r="N203" s="30">
        <v>12</v>
      </c>
      <c r="O203" s="30">
        <v>12</v>
      </c>
      <c r="P203" s="30">
        <v>12</v>
      </c>
      <c r="Q203" s="30">
        <v>12</v>
      </c>
      <c r="R203" s="30">
        <v>12</v>
      </c>
      <c r="S203" s="30">
        <v>12</v>
      </c>
      <c r="T203" s="30">
        <v>12</v>
      </c>
      <c r="U203" s="30">
        <v>12</v>
      </c>
      <c r="V203" s="30">
        <v>12</v>
      </c>
      <c r="W203" s="30">
        <v>12</v>
      </c>
      <c r="X203" s="30">
        <v>12</v>
      </c>
      <c r="Y203" s="30">
        <v>12</v>
      </c>
      <c r="Z203" s="30">
        <v>12</v>
      </c>
      <c r="AA203" s="30">
        <v>12</v>
      </c>
      <c r="AB203" s="30">
        <v>12</v>
      </c>
      <c r="AC203" s="30">
        <v>12</v>
      </c>
      <c r="AD203" s="30">
        <v>12</v>
      </c>
      <c r="AE203" s="30">
        <v>12</v>
      </c>
      <c r="AF203" s="30">
        <v>12</v>
      </c>
      <c r="AG203" s="30">
        <v>12</v>
      </c>
      <c r="AH203" s="30">
        <v>12</v>
      </c>
      <c r="AI203" s="30">
        <v>12</v>
      </c>
      <c r="AJ203" s="30">
        <v>12</v>
      </c>
      <c r="AK203" s="30">
        <v>12</v>
      </c>
      <c r="AL203" s="1"/>
      <c r="AM203" s="1"/>
    </row>
    <row r="204" spans="1:39" x14ac:dyDescent="0.25">
      <c r="A204" s="1"/>
      <c r="B204" s="1"/>
      <c r="C204" s="1"/>
      <c r="D204" s="7"/>
      <c r="E204" s="1"/>
      <c r="F204" s="6" t="str">
        <f>структура!$F$10</f>
        <v>хозяйственное ведение</v>
      </c>
      <c r="G204" s="1"/>
      <c r="H204" s="1" t="str">
        <f>H201</f>
        <v>тыс.руб.</v>
      </c>
      <c r="I204" s="1"/>
      <c r="J204" s="1"/>
      <c r="K204" s="1"/>
      <c r="L204" s="10" t="s">
        <v>10</v>
      </c>
      <c r="M204" s="30">
        <v>18</v>
      </c>
      <c r="N204" s="30">
        <v>18</v>
      </c>
      <c r="O204" s="30">
        <v>18</v>
      </c>
      <c r="P204" s="30">
        <v>18</v>
      </c>
      <c r="Q204" s="30">
        <v>18</v>
      </c>
      <c r="R204" s="30">
        <v>18</v>
      </c>
      <c r="S204" s="30">
        <v>18</v>
      </c>
      <c r="T204" s="30">
        <v>18</v>
      </c>
      <c r="U204" s="30">
        <v>18</v>
      </c>
      <c r="V204" s="30">
        <v>18</v>
      </c>
      <c r="W204" s="30">
        <v>18</v>
      </c>
      <c r="X204" s="30">
        <v>18</v>
      </c>
      <c r="Y204" s="30">
        <v>18</v>
      </c>
      <c r="Z204" s="30">
        <v>18</v>
      </c>
      <c r="AA204" s="30">
        <v>18</v>
      </c>
      <c r="AB204" s="30">
        <v>18</v>
      </c>
      <c r="AC204" s="30">
        <v>18</v>
      </c>
      <c r="AD204" s="30">
        <v>18</v>
      </c>
      <c r="AE204" s="30">
        <v>18</v>
      </c>
      <c r="AF204" s="30">
        <v>18</v>
      </c>
      <c r="AG204" s="30">
        <v>18</v>
      </c>
      <c r="AH204" s="30">
        <v>18</v>
      </c>
      <c r="AI204" s="30">
        <v>18</v>
      </c>
      <c r="AJ204" s="30">
        <v>18</v>
      </c>
      <c r="AK204" s="30">
        <v>18</v>
      </c>
      <c r="AL204" s="1"/>
      <c r="AM204" s="1"/>
    </row>
    <row r="205" spans="1:39" x14ac:dyDescent="0.25">
      <c r="A205" s="1"/>
      <c r="B205" s="1"/>
      <c r="C205" s="1"/>
      <c r="D205" s="7"/>
      <c r="E205" s="1"/>
      <c r="F205" s="1"/>
      <c r="G205" s="1"/>
      <c r="H205" s="1"/>
      <c r="I205" s="1"/>
      <c r="J205" s="1"/>
      <c r="K205" s="1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s="8" customFormat="1" x14ac:dyDescent="0.25">
      <c r="A206" s="7"/>
      <c r="B206" s="7"/>
      <c r="C206" s="7"/>
      <c r="D206" s="27"/>
      <c r="E206" s="7"/>
      <c r="F206" s="27" t="str">
        <f>KPI!$F$52</f>
        <v>расходы на ТО парковочного оборудования</v>
      </c>
      <c r="G206" s="7"/>
      <c r="H206" s="27" t="str">
        <f>INDEX(KPI!$H:$H,SUMIFS(KPI!$D:$D,KPI!$F:$F,$F206))</f>
        <v>тыс.руб.</v>
      </c>
      <c r="I206" s="7"/>
      <c r="J206" s="7"/>
      <c r="K206" s="7"/>
      <c r="L206" s="10"/>
      <c r="M206" s="28">
        <f>SUM(M207:M209)</f>
        <v>2256</v>
      </c>
      <c r="N206" s="28">
        <f t="shared" ref="N206:AK206" si="144">SUM(N207:N209)</f>
        <v>2388</v>
      </c>
      <c r="O206" s="28">
        <f t="shared" si="144"/>
        <v>2502</v>
      </c>
      <c r="P206" s="28">
        <f t="shared" si="144"/>
        <v>2514</v>
      </c>
      <c r="Q206" s="28">
        <f t="shared" si="144"/>
        <v>2622</v>
      </c>
      <c r="R206" s="28">
        <f t="shared" si="144"/>
        <v>2796</v>
      </c>
      <c r="S206" s="28">
        <f t="shared" si="144"/>
        <v>2910</v>
      </c>
      <c r="T206" s="28">
        <f t="shared" si="144"/>
        <v>3018</v>
      </c>
      <c r="U206" s="28">
        <f t="shared" si="144"/>
        <v>3174</v>
      </c>
      <c r="V206" s="28">
        <f t="shared" si="144"/>
        <v>3378</v>
      </c>
      <c r="W206" s="28">
        <f t="shared" si="144"/>
        <v>3444</v>
      </c>
      <c r="X206" s="28">
        <f t="shared" si="144"/>
        <v>3444</v>
      </c>
      <c r="Y206" s="28">
        <f t="shared" si="144"/>
        <v>3522</v>
      </c>
      <c r="Z206" s="28">
        <f t="shared" si="144"/>
        <v>3522</v>
      </c>
      <c r="AA206" s="28">
        <f t="shared" si="144"/>
        <v>3576</v>
      </c>
      <c r="AB206" s="28">
        <f t="shared" si="144"/>
        <v>3720</v>
      </c>
      <c r="AC206" s="28">
        <f t="shared" si="144"/>
        <v>3720</v>
      </c>
      <c r="AD206" s="28">
        <f t="shared" si="144"/>
        <v>3720</v>
      </c>
      <c r="AE206" s="28">
        <f t="shared" si="144"/>
        <v>3720</v>
      </c>
      <c r="AF206" s="28">
        <f t="shared" si="144"/>
        <v>3720</v>
      </c>
      <c r="AG206" s="28">
        <f t="shared" si="144"/>
        <v>3720</v>
      </c>
      <c r="AH206" s="28">
        <f t="shared" si="144"/>
        <v>3720</v>
      </c>
      <c r="AI206" s="28">
        <f t="shared" si="144"/>
        <v>3720</v>
      </c>
      <c r="AJ206" s="28">
        <f t="shared" si="144"/>
        <v>3720</v>
      </c>
      <c r="AK206" s="28">
        <f t="shared" si="144"/>
        <v>3720</v>
      </c>
      <c r="AL206" s="7"/>
      <c r="AM206" s="7"/>
    </row>
    <row r="207" spans="1:39" s="4" customFormat="1" ht="10.199999999999999" x14ac:dyDescent="0.2">
      <c r="A207" s="3"/>
      <c r="B207" s="3"/>
      <c r="C207" s="3"/>
      <c r="D207" s="9"/>
      <c r="E207" s="3"/>
      <c r="F207" s="5" t="str">
        <f>структура!$H$9</f>
        <v>в т.ч.</v>
      </c>
      <c r="G207" s="3"/>
      <c r="H207" s="3"/>
      <c r="I207" s="3"/>
      <c r="J207" s="3"/>
      <c r="K207" s="3"/>
      <c r="L207" s="1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x14ac:dyDescent="0.25">
      <c r="A208" s="1"/>
      <c r="B208" s="1"/>
      <c r="C208" s="1"/>
      <c r="D208" s="7"/>
      <c r="E208" s="1"/>
      <c r="F208" s="6" t="str">
        <f>структура!$F$9</f>
        <v>народный гараж</v>
      </c>
      <c r="G208" s="1"/>
      <c r="H208" s="1" t="str">
        <f>H206</f>
        <v>тыс.руб.</v>
      </c>
      <c r="I208" s="1"/>
      <c r="J208" s="1"/>
      <c r="K208" s="1"/>
      <c r="L208" s="10"/>
      <c r="M208" s="18">
        <f>M12*M203</f>
        <v>1104</v>
      </c>
      <c r="N208" s="18">
        <f t="shared" ref="N208:AK208" si="145">N12*N203</f>
        <v>1164</v>
      </c>
      <c r="O208" s="18">
        <f t="shared" si="145"/>
        <v>1224</v>
      </c>
      <c r="P208" s="18">
        <f t="shared" si="145"/>
        <v>1236</v>
      </c>
      <c r="Q208" s="18">
        <f t="shared" si="145"/>
        <v>1308</v>
      </c>
      <c r="R208" s="18">
        <f t="shared" si="145"/>
        <v>1320</v>
      </c>
      <c r="S208" s="18">
        <f t="shared" si="145"/>
        <v>1416</v>
      </c>
      <c r="T208" s="18">
        <f t="shared" si="145"/>
        <v>1488</v>
      </c>
      <c r="U208" s="18">
        <f t="shared" si="145"/>
        <v>1572</v>
      </c>
      <c r="V208" s="18">
        <f t="shared" si="145"/>
        <v>1704</v>
      </c>
      <c r="W208" s="18">
        <f t="shared" si="145"/>
        <v>1752</v>
      </c>
      <c r="X208" s="18">
        <f t="shared" si="145"/>
        <v>1752</v>
      </c>
      <c r="Y208" s="18">
        <f t="shared" si="145"/>
        <v>1776</v>
      </c>
      <c r="Z208" s="18">
        <f t="shared" si="145"/>
        <v>1776</v>
      </c>
      <c r="AA208" s="18">
        <f t="shared" si="145"/>
        <v>1812</v>
      </c>
      <c r="AB208" s="18">
        <f t="shared" si="145"/>
        <v>1884</v>
      </c>
      <c r="AC208" s="18">
        <f t="shared" si="145"/>
        <v>1884</v>
      </c>
      <c r="AD208" s="18">
        <f t="shared" si="145"/>
        <v>1884</v>
      </c>
      <c r="AE208" s="18">
        <f t="shared" si="145"/>
        <v>1884</v>
      </c>
      <c r="AF208" s="18">
        <f t="shared" si="145"/>
        <v>1884</v>
      </c>
      <c r="AG208" s="18">
        <f t="shared" si="145"/>
        <v>1884</v>
      </c>
      <c r="AH208" s="18">
        <f t="shared" si="145"/>
        <v>1884</v>
      </c>
      <c r="AI208" s="18">
        <f t="shared" si="145"/>
        <v>1884</v>
      </c>
      <c r="AJ208" s="18">
        <f t="shared" si="145"/>
        <v>1884</v>
      </c>
      <c r="AK208" s="18">
        <f t="shared" si="145"/>
        <v>1884</v>
      </c>
      <c r="AL208" s="1"/>
      <c r="AM208" s="1"/>
    </row>
    <row r="209" spans="1:39" x14ac:dyDescent="0.25">
      <c r="A209" s="1"/>
      <c r="B209" s="1"/>
      <c r="C209" s="1"/>
      <c r="D209" s="7"/>
      <c r="E209" s="1"/>
      <c r="F209" s="6" t="str">
        <f>структура!$F$10</f>
        <v>хозяйственное ведение</v>
      </c>
      <c r="G209" s="1"/>
      <c r="H209" s="1" t="str">
        <f>H206</f>
        <v>тыс.руб.</v>
      </c>
      <c r="I209" s="1"/>
      <c r="J209" s="1"/>
      <c r="K209" s="1"/>
      <c r="L209" s="10"/>
      <c r="M209" s="18">
        <f>M13*M204</f>
        <v>1152</v>
      </c>
      <c r="N209" s="18">
        <f t="shared" ref="N209:AK209" si="146">N13*N204</f>
        <v>1224</v>
      </c>
      <c r="O209" s="18">
        <f t="shared" si="146"/>
        <v>1278</v>
      </c>
      <c r="P209" s="18">
        <f t="shared" si="146"/>
        <v>1278</v>
      </c>
      <c r="Q209" s="18">
        <f t="shared" si="146"/>
        <v>1314</v>
      </c>
      <c r="R209" s="18">
        <f t="shared" si="146"/>
        <v>1476</v>
      </c>
      <c r="S209" s="18">
        <f t="shared" si="146"/>
        <v>1494</v>
      </c>
      <c r="T209" s="18">
        <f t="shared" si="146"/>
        <v>1530</v>
      </c>
      <c r="U209" s="18">
        <f t="shared" si="146"/>
        <v>1602</v>
      </c>
      <c r="V209" s="18">
        <f t="shared" si="146"/>
        <v>1674</v>
      </c>
      <c r="W209" s="18">
        <f t="shared" si="146"/>
        <v>1692</v>
      </c>
      <c r="X209" s="18">
        <f t="shared" si="146"/>
        <v>1692</v>
      </c>
      <c r="Y209" s="18">
        <f t="shared" si="146"/>
        <v>1746</v>
      </c>
      <c r="Z209" s="18">
        <f t="shared" si="146"/>
        <v>1746</v>
      </c>
      <c r="AA209" s="18">
        <f t="shared" si="146"/>
        <v>1764</v>
      </c>
      <c r="AB209" s="18">
        <f t="shared" si="146"/>
        <v>1836</v>
      </c>
      <c r="AC209" s="18">
        <f t="shared" si="146"/>
        <v>1836</v>
      </c>
      <c r="AD209" s="18">
        <f t="shared" si="146"/>
        <v>1836</v>
      </c>
      <c r="AE209" s="18">
        <f t="shared" si="146"/>
        <v>1836</v>
      </c>
      <c r="AF209" s="18">
        <f t="shared" si="146"/>
        <v>1836</v>
      </c>
      <c r="AG209" s="18">
        <f t="shared" si="146"/>
        <v>1836</v>
      </c>
      <c r="AH209" s="18">
        <f t="shared" si="146"/>
        <v>1836</v>
      </c>
      <c r="AI209" s="18">
        <f t="shared" si="146"/>
        <v>1836</v>
      </c>
      <c r="AJ209" s="18">
        <f t="shared" si="146"/>
        <v>1836</v>
      </c>
      <c r="AK209" s="18">
        <f t="shared" si="146"/>
        <v>1836</v>
      </c>
      <c r="AL209" s="1"/>
      <c r="AM209" s="1"/>
    </row>
    <row r="210" spans="1:39" x14ac:dyDescent="0.25">
      <c r="A210" s="1"/>
      <c r="B210" s="1"/>
      <c r="C210" s="1"/>
      <c r="D210" s="7"/>
      <c r="E210" s="1"/>
      <c r="F210" s="1"/>
      <c r="G210" s="1"/>
      <c r="H210" s="1"/>
      <c r="I210" s="1"/>
      <c r="J210" s="1"/>
      <c r="K210" s="1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s="8" customFormat="1" x14ac:dyDescent="0.25">
      <c r="A211" s="7"/>
      <c r="B211" s="7"/>
      <c r="C211" s="7"/>
      <c r="D211" s="7" t="str">
        <f>структура!$D$15</f>
        <v>Списания ДС</v>
      </c>
      <c r="E211" s="7"/>
      <c r="F211" s="7" t="str">
        <f>KPI!$F$53</f>
        <v>распределение платежей за ТО оборудования</v>
      </c>
      <c r="G211" s="7"/>
      <c r="H211" s="7" t="str">
        <f>INDEX(KPI!$H:$H,SUMIFS(KPI!$D:$D,KPI!$F:$F,$F211))</f>
        <v>%</v>
      </c>
      <c r="I211" s="7"/>
      <c r="J211" s="7"/>
      <c r="K211" s="7"/>
      <c r="L211" s="10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7"/>
      <c r="AM211" s="7"/>
    </row>
    <row r="212" spans="1:39" s="4" customFormat="1" ht="10.199999999999999" x14ac:dyDescent="0.2">
      <c r="A212" s="3"/>
      <c r="B212" s="3"/>
      <c r="C212" s="3"/>
      <c r="D212" s="9"/>
      <c r="E212" s="3"/>
      <c r="F212" s="5" t="str">
        <f>структура!$H$9</f>
        <v>в т.ч.</v>
      </c>
      <c r="G212" s="3"/>
      <c r="H212" s="3"/>
      <c r="I212" s="3"/>
      <c r="J212" s="3"/>
      <c r="K212" s="3"/>
      <c r="L212" s="1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x14ac:dyDescent="0.25">
      <c r="A213" s="1"/>
      <c r="B213" s="1"/>
      <c r="C213" s="1"/>
      <c r="D213" s="7"/>
      <c r="E213" s="1"/>
      <c r="F213" s="6" t="str">
        <f>структура!$F$9</f>
        <v>народный гараж</v>
      </c>
      <c r="G213" s="1"/>
      <c r="H213" s="1" t="str">
        <f>H211</f>
        <v>%</v>
      </c>
      <c r="I213" s="1"/>
      <c r="J213" s="1"/>
      <c r="K213" s="1"/>
      <c r="L213" s="10" t="s">
        <v>10</v>
      </c>
      <c r="M213" s="24">
        <v>1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5">
        <v>0</v>
      </c>
      <c r="AK213" s="26">
        <f>100%-SUM(M213:AJ213)</f>
        <v>0</v>
      </c>
      <c r="AL213" s="1"/>
      <c r="AM213" s="1"/>
    </row>
    <row r="214" spans="1:39" x14ac:dyDescent="0.25">
      <c r="A214" s="1"/>
      <c r="B214" s="1"/>
      <c r="C214" s="1"/>
      <c r="D214" s="7"/>
      <c r="E214" s="1"/>
      <c r="F214" s="6" t="str">
        <f>структура!$F$10</f>
        <v>хозяйственное ведение</v>
      </c>
      <c r="G214" s="1"/>
      <c r="H214" s="1" t="str">
        <f>H211</f>
        <v>%</v>
      </c>
      <c r="I214" s="1"/>
      <c r="J214" s="1"/>
      <c r="K214" s="1"/>
      <c r="L214" s="10" t="s">
        <v>10</v>
      </c>
      <c r="M214" s="24">
        <v>1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5">
        <v>0</v>
      </c>
      <c r="AK214" s="26">
        <f>100%-SUM(M214:AJ214)</f>
        <v>0</v>
      </c>
      <c r="AL214" s="1"/>
      <c r="AM214" s="1"/>
    </row>
    <row r="215" spans="1:39" x14ac:dyDescent="0.25">
      <c r="A215" s="1"/>
      <c r="B215" s="1"/>
      <c r="C215" s="1"/>
      <c r="D215" s="7"/>
      <c r="E215" s="1"/>
      <c r="F215" s="1"/>
      <c r="G215" s="1"/>
      <c r="H215" s="1"/>
      <c r="I215" s="1"/>
      <c r="J215" s="1"/>
      <c r="K215" s="1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s="8" customFormat="1" x14ac:dyDescent="0.25">
      <c r="A216" s="7"/>
      <c r="B216" s="7"/>
      <c r="C216" s="7"/>
      <c r="D216" s="7"/>
      <c r="E216" s="7"/>
      <c r="F216" s="7" t="str">
        <f>KPI!$F$54</f>
        <v>обратное распр-ние платежей за ТО оборудования</v>
      </c>
      <c r="G216" s="7"/>
      <c r="H216" s="7" t="str">
        <f>INDEX(KPI!$H:$H,SUMIFS(KPI!$D:$D,KPI!$F:$F,$F216))</f>
        <v>%</v>
      </c>
      <c r="I216" s="7"/>
      <c r="J216" s="7"/>
      <c r="K216" s="7"/>
      <c r="L216" s="10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7"/>
      <c r="AM216" s="7"/>
    </row>
    <row r="217" spans="1:39" s="4" customFormat="1" ht="10.199999999999999" x14ac:dyDescent="0.2">
      <c r="A217" s="3"/>
      <c r="B217" s="3"/>
      <c r="C217" s="3"/>
      <c r="D217" s="9"/>
      <c r="E217" s="3"/>
      <c r="F217" s="5" t="str">
        <f>структура!$H$9</f>
        <v>в т.ч.</v>
      </c>
      <c r="G217" s="3"/>
      <c r="H217" s="3"/>
      <c r="I217" s="3"/>
      <c r="J217" s="3"/>
      <c r="K217" s="3"/>
      <c r="L217" s="1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x14ac:dyDescent="0.25">
      <c r="A218" s="1"/>
      <c r="B218" s="1"/>
      <c r="C218" s="1"/>
      <c r="D218" s="7"/>
      <c r="E218" s="1"/>
      <c r="F218" s="6" t="str">
        <f>структура!$F$9</f>
        <v>народный гараж</v>
      </c>
      <c r="G218" s="1"/>
      <c r="H218" s="1" t="str">
        <f>H216</f>
        <v>%</v>
      </c>
      <c r="I218" s="1"/>
      <c r="J218" s="1"/>
      <c r="K218" s="1"/>
      <c r="L218" s="10"/>
      <c r="M218" s="23">
        <f t="shared" ref="M218:AK218" si="147">SUMIFS(213:213,$1:$1,M$2)</f>
        <v>0</v>
      </c>
      <c r="N218" s="23">
        <f t="shared" si="147"/>
        <v>0</v>
      </c>
      <c r="O218" s="23">
        <f t="shared" si="147"/>
        <v>0</v>
      </c>
      <c r="P218" s="23">
        <f t="shared" si="147"/>
        <v>0</v>
      </c>
      <c r="Q218" s="23">
        <f t="shared" si="147"/>
        <v>0</v>
      </c>
      <c r="R218" s="23">
        <f t="shared" si="147"/>
        <v>0</v>
      </c>
      <c r="S218" s="23">
        <f t="shared" si="147"/>
        <v>0</v>
      </c>
      <c r="T218" s="23">
        <f t="shared" si="147"/>
        <v>0</v>
      </c>
      <c r="U218" s="23">
        <f t="shared" si="147"/>
        <v>0</v>
      </c>
      <c r="V218" s="23">
        <f t="shared" si="147"/>
        <v>0</v>
      </c>
      <c r="W218" s="23">
        <f t="shared" si="147"/>
        <v>0</v>
      </c>
      <c r="X218" s="23">
        <f t="shared" si="147"/>
        <v>0</v>
      </c>
      <c r="Y218" s="23">
        <f t="shared" si="147"/>
        <v>0</v>
      </c>
      <c r="Z218" s="23">
        <f t="shared" si="147"/>
        <v>0</v>
      </c>
      <c r="AA218" s="23">
        <f t="shared" si="147"/>
        <v>0</v>
      </c>
      <c r="AB218" s="23">
        <f t="shared" si="147"/>
        <v>0</v>
      </c>
      <c r="AC218" s="23">
        <f t="shared" si="147"/>
        <v>0</v>
      </c>
      <c r="AD218" s="23">
        <f t="shared" si="147"/>
        <v>0</v>
      </c>
      <c r="AE218" s="23">
        <f t="shared" si="147"/>
        <v>0</v>
      </c>
      <c r="AF218" s="23">
        <f t="shared" si="147"/>
        <v>0</v>
      </c>
      <c r="AG218" s="23">
        <f t="shared" si="147"/>
        <v>0</v>
      </c>
      <c r="AH218" s="23">
        <f t="shared" si="147"/>
        <v>0</v>
      </c>
      <c r="AI218" s="23">
        <f t="shared" si="147"/>
        <v>0</v>
      </c>
      <c r="AJ218" s="23">
        <f t="shared" si="147"/>
        <v>0</v>
      </c>
      <c r="AK218" s="23">
        <f t="shared" si="147"/>
        <v>1</v>
      </c>
      <c r="AL218" s="1"/>
      <c r="AM218" s="1"/>
    </row>
    <row r="219" spans="1:39" x14ac:dyDescent="0.25">
      <c r="A219" s="1"/>
      <c r="B219" s="1"/>
      <c r="C219" s="1"/>
      <c r="D219" s="7"/>
      <c r="E219" s="1"/>
      <c r="F219" s="6" t="str">
        <f>структура!$F$10</f>
        <v>хозяйственное ведение</v>
      </c>
      <c r="G219" s="1"/>
      <c r="H219" s="1" t="str">
        <f>H216</f>
        <v>%</v>
      </c>
      <c r="I219" s="1"/>
      <c r="J219" s="1"/>
      <c r="K219" s="1"/>
      <c r="L219" s="10"/>
      <c r="M219" s="23">
        <f t="shared" ref="M219:AK219" si="148">SUMIFS(214:214,$1:$1,M$2)</f>
        <v>0</v>
      </c>
      <c r="N219" s="23">
        <f t="shared" si="148"/>
        <v>0</v>
      </c>
      <c r="O219" s="23">
        <f t="shared" si="148"/>
        <v>0</v>
      </c>
      <c r="P219" s="23">
        <f t="shared" si="148"/>
        <v>0</v>
      </c>
      <c r="Q219" s="23">
        <f t="shared" si="148"/>
        <v>0</v>
      </c>
      <c r="R219" s="23">
        <f t="shared" si="148"/>
        <v>0</v>
      </c>
      <c r="S219" s="23">
        <f t="shared" si="148"/>
        <v>0</v>
      </c>
      <c r="T219" s="23">
        <f t="shared" si="148"/>
        <v>0</v>
      </c>
      <c r="U219" s="23">
        <f t="shared" si="148"/>
        <v>0</v>
      </c>
      <c r="V219" s="23">
        <f t="shared" si="148"/>
        <v>0</v>
      </c>
      <c r="W219" s="23">
        <f t="shared" si="148"/>
        <v>0</v>
      </c>
      <c r="X219" s="23">
        <f t="shared" si="148"/>
        <v>0</v>
      </c>
      <c r="Y219" s="23">
        <f t="shared" si="148"/>
        <v>0</v>
      </c>
      <c r="Z219" s="23">
        <f t="shared" si="148"/>
        <v>0</v>
      </c>
      <c r="AA219" s="23">
        <f t="shared" si="148"/>
        <v>0</v>
      </c>
      <c r="AB219" s="23">
        <f t="shared" si="148"/>
        <v>0</v>
      </c>
      <c r="AC219" s="23">
        <f t="shared" si="148"/>
        <v>0</v>
      </c>
      <c r="AD219" s="23">
        <f t="shared" si="148"/>
        <v>0</v>
      </c>
      <c r="AE219" s="23">
        <f t="shared" si="148"/>
        <v>0</v>
      </c>
      <c r="AF219" s="23">
        <f t="shared" si="148"/>
        <v>0</v>
      </c>
      <c r="AG219" s="23">
        <f t="shared" si="148"/>
        <v>0</v>
      </c>
      <c r="AH219" s="23">
        <f t="shared" si="148"/>
        <v>0</v>
      </c>
      <c r="AI219" s="23">
        <f t="shared" si="148"/>
        <v>0</v>
      </c>
      <c r="AJ219" s="23">
        <f t="shared" si="148"/>
        <v>0</v>
      </c>
      <c r="AK219" s="23">
        <f t="shared" si="148"/>
        <v>1</v>
      </c>
      <c r="AL219" s="1"/>
      <c r="AM219" s="1"/>
    </row>
    <row r="220" spans="1:39" x14ac:dyDescent="0.25">
      <c r="A220" s="1"/>
      <c r="B220" s="1"/>
      <c r="C220" s="1"/>
      <c r="D220" s="7"/>
      <c r="E220" s="1"/>
      <c r="F220" s="1"/>
      <c r="G220" s="1"/>
      <c r="H220" s="1"/>
      <c r="I220" s="1"/>
      <c r="J220" s="1"/>
      <c r="K220" s="1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s="8" customFormat="1" x14ac:dyDescent="0.25">
      <c r="A221" s="7"/>
      <c r="B221" s="7"/>
      <c r="C221" s="7"/>
      <c r="D221" s="27" t="str">
        <f>структура!$D$16</f>
        <v>CFOut</v>
      </c>
      <c r="E221" s="7"/>
      <c r="F221" s="27" t="str">
        <f>KPI!$F$55</f>
        <v>оплата ТО парковочного оборудования</v>
      </c>
      <c r="G221" s="7"/>
      <c r="H221" s="27" t="str">
        <f>INDEX(KPI!$H:$H,SUMIFS(KPI!$D:$D,KPI!$F:$F,$F221))</f>
        <v>тыс.руб.</v>
      </c>
      <c r="I221" s="7"/>
      <c r="J221" s="7"/>
      <c r="K221" s="7"/>
      <c r="L221" s="10"/>
      <c r="M221" s="28">
        <f>SUM(M222:M224)</f>
        <v>2256</v>
      </c>
      <c r="N221" s="28">
        <f t="shared" ref="N221:AK221" si="149">SUM(N222:N224)</f>
        <v>2388</v>
      </c>
      <c r="O221" s="28">
        <f t="shared" si="149"/>
        <v>2502</v>
      </c>
      <c r="P221" s="28">
        <f t="shared" si="149"/>
        <v>2514</v>
      </c>
      <c r="Q221" s="28">
        <f t="shared" si="149"/>
        <v>2622</v>
      </c>
      <c r="R221" s="28">
        <f t="shared" si="149"/>
        <v>2796</v>
      </c>
      <c r="S221" s="28">
        <f t="shared" si="149"/>
        <v>2910</v>
      </c>
      <c r="T221" s="28">
        <f t="shared" si="149"/>
        <v>3018</v>
      </c>
      <c r="U221" s="28">
        <f t="shared" si="149"/>
        <v>3174</v>
      </c>
      <c r="V221" s="28">
        <f t="shared" si="149"/>
        <v>3378</v>
      </c>
      <c r="W221" s="28">
        <f t="shared" si="149"/>
        <v>3444</v>
      </c>
      <c r="X221" s="28">
        <f t="shared" si="149"/>
        <v>3444</v>
      </c>
      <c r="Y221" s="28">
        <f t="shared" si="149"/>
        <v>3522</v>
      </c>
      <c r="Z221" s="28">
        <f t="shared" si="149"/>
        <v>3522</v>
      </c>
      <c r="AA221" s="28">
        <f t="shared" si="149"/>
        <v>3576</v>
      </c>
      <c r="AB221" s="28">
        <f t="shared" si="149"/>
        <v>3720</v>
      </c>
      <c r="AC221" s="28">
        <f t="shared" si="149"/>
        <v>3720</v>
      </c>
      <c r="AD221" s="28">
        <f t="shared" si="149"/>
        <v>3720</v>
      </c>
      <c r="AE221" s="28">
        <f t="shared" si="149"/>
        <v>3720</v>
      </c>
      <c r="AF221" s="28">
        <f t="shared" si="149"/>
        <v>3720</v>
      </c>
      <c r="AG221" s="28">
        <f t="shared" si="149"/>
        <v>3720</v>
      </c>
      <c r="AH221" s="28">
        <f t="shared" si="149"/>
        <v>3720</v>
      </c>
      <c r="AI221" s="28">
        <f t="shared" si="149"/>
        <v>3720</v>
      </c>
      <c r="AJ221" s="28">
        <f t="shared" si="149"/>
        <v>3720</v>
      </c>
      <c r="AK221" s="28">
        <f t="shared" si="149"/>
        <v>3720</v>
      </c>
      <c r="AL221" s="7"/>
      <c r="AM221" s="7"/>
    </row>
    <row r="222" spans="1:39" s="4" customFormat="1" ht="10.199999999999999" x14ac:dyDescent="0.2">
      <c r="A222" s="3"/>
      <c r="B222" s="3"/>
      <c r="C222" s="3"/>
      <c r="D222" s="9"/>
      <c r="E222" s="3"/>
      <c r="F222" s="5" t="str">
        <f>структура!$H$9</f>
        <v>в т.ч.</v>
      </c>
      <c r="G222" s="3"/>
      <c r="H222" s="3"/>
      <c r="I222" s="3"/>
      <c r="J222" s="3"/>
      <c r="K222" s="3"/>
      <c r="L222" s="1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x14ac:dyDescent="0.25">
      <c r="A223" s="1"/>
      <c r="B223" s="1"/>
      <c r="C223" s="1"/>
      <c r="D223" s="7"/>
      <c r="E223" s="1"/>
      <c r="F223" s="6" t="str">
        <f>структура!$F$9</f>
        <v>народный гараж</v>
      </c>
      <c r="G223" s="1"/>
      <c r="H223" s="1" t="str">
        <f>H221</f>
        <v>тыс.руб.</v>
      </c>
      <c r="I223" s="1"/>
      <c r="J223" s="1"/>
      <c r="K223" s="1"/>
      <c r="L223" s="10"/>
      <c r="M223" s="18">
        <f>SUMPRODUCT(M208:M208,AK218)</f>
        <v>1104</v>
      </c>
      <c r="N223" s="18">
        <f>SUMPRODUCT(M208:N208,AJ218:AK218)</f>
        <v>1164</v>
      </c>
      <c r="O223" s="18">
        <f>SUMPRODUCT(M208:O208,AI218:AK218)</f>
        <v>1224</v>
      </c>
      <c r="P223" s="18">
        <f>SUMPRODUCT(M208:P208,AH218:AK218)</f>
        <v>1236</v>
      </c>
      <c r="Q223" s="18">
        <f>SUMPRODUCT(M208:Q208,AG218:AK218)</f>
        <v>1308</v>
      </c>
      <c r="R223" s="18">
        <f>SUMPRODUCT(M208:R208,AF218:AK218)</f>
        <v>1320</v>
      </c>
      <c r="S223" s="18">
        <f>SUMPRODUCT(M208:S208,AE218:AK218)</f>
        <v>1416</v>
      </c>
      <c r="T223" s="18">
        <f>SUMPRODUCT(M208:T208,AD218:AK218)</f>
        <v>1488</v>
      </c>
      <c r="U223" s="18">
        <f>SUMPRODUCT(M208:U208,AC218:AK218)</f>
        <v>1572</v>
      </c>
      <c r="V223" s="18">
        <f>SUMPRODUCT(M208:V208,AB218:AK218)</f>
        <v>1704</v>
      </c>
      <c r="W223" s="18">
        <f>SUMPRODUCT(M208:W208,AA218:AK218)</f>
        <v>1752</v>
      </c>
      <c r="X223" s="18">
        <f>SUMPRODUCT(M208:X208,Z218:AK218)</f>
        <v>1752</v>
      </c>
      <c r="Y223" s="18">
        <f>SUMPRODUCT(M208:Y208,Y218:AK218)</f>
        <v>1776</v>
      </c>
      <c r="Z223" s="18">
        <f>SUMPRODUCT(M208:Z208,X218:AK218)</f>
        <v>1776</v>
      </c>
      <c r="AA223" s="18">
        <f>SUMPRODUCT(M208:AA208,W218:AK218)</f>
        <v>1812</v>
      </c>
      <c r="AB223" s="18">
        <f>SUMPRODUCT(M208:AB208,V218:AK218)</f>
        <v>1884</v>
      </c>
      <c r="AC223" s="18">
        <f>SUMPRODUCT(M208:AC208,U218:AK218)</f>
        <v>1884</v>
      </c>
      <c r="AD223" s="18">
        <f>SUMPRODUCT(M208:AD208,T218:AK218)</f>
        <v>1884</v>
      </c>
      <c r="AE223" s="18">
        <f>SUMPRODUCT(M208:AE208,S218:AK218)</f>
        <v>1884</v>
      </c>
      <c r="AF223" s="18">
        <f>SUMPRODUCT(M208:AF208,R218:AK218)</f>
        <v>1884</v>
      </c>
      <c r="AG223" s="18">
        <f>SUMPRODUCT(M208:AG208,Q218:AK218)</f>
        <v>1884</v>
      </c>
      <c r="AH223" s="18">
        <f>SUMPRODUCT(M208:AH208,P218:AK218)</f>
        <v>1884</v>
      </c>
      <c r="AI223" s="18">
        <f>SUMPRODUCT(M208:AI208,O218:AK218)</f>
        <v>1884</v>
      </c>
      <c r="AJ223" s="18">
        <f>SUMPRODUCT(M208:AJ208,N218:AK218)</f>
        <v>1884</v>
      </c>
      <c r="AK223" s="18">
        <f>SUMPRODUCT(M208:AK208,M218:AK218)</f>
        <v>1884</v>
      </c>
      <c r="AL223" s="1"/>
      <c r="AM223" s="1"/>
    </row>
    <row r="224" spans="1:39" x14ac:dyDescent="0.25">
      <c r="A224" s="1"/>
      <c r="B224" s="1"/>
      <c r="C224" s="1"/>
      <c r="D224" s="7"/>
      <c r="E224" s="1"/>
      <c r="F224" s="6" t="str">
        <f>структура!$F$10</f>
        <v>хозяйственное ведение</v>
      </c>
      <c r="G224" s="1"/>
      <c r="H224" s="1" t="str">
        <f>H221</f>
        <v>тыс.руб.</v>
      </c>
      <c r="I224" s="1"/>
      <c r="J224" s="1"/>
      <c r="K224" s="1"/>
      <c r="L224" s="10"/>
      <c r="M224" s="18">
        <f>SUMPRODUCT(M209:M209,AK219)</f>
        <v>1152</v>
      </c>
      <c r="N224" s="18">
        <f>SUMPRODUCT(M209:N209,AJ219:AK219)</f>
        <v>1224</v>
      </c>
      <c r="O224" s="18">
        <f>SUMPRODUCT(M209:O209,AI219:AK219)</f>
        <v>1278</v>
      </c>
      <c r="P224" s="18">
        <f>SUMPRODUCT(M209:P209,AH219:AK219)</f>
        <v>1278</v>
      </c>
      <c r="Q224" s="18">
        <f>SUMPRODUCT(M209:Q209,AG219:AK219)</f>
        <v>1314</v>
      </c>
      <c r="R224" s="18">
        <f>SUMPRODUCT(M209:R209,AF219:AK219)</f>
        <v>1476</v>
      </c>
      <c r="S224" s="18">
        <f>SUMPRODUCT(M209:S209,AE219:AK219)</f>
        <v>1494</v>
      </c>
      <c r="T224" s="18">
        <f>SUMPRODUCT(M209:T209,AD219:AK219)</f>
        <v>1530</v>
      </c>
      <c r="U224" s="18">
        <f>SUMPRODUCT(M209:U209,AC219:AK219)</f>
        <v>1602</v>
      </c>
      <c r="V224" s="18">
        <f>SUMPRODUCT(M209:V209,AB219:AK219)</f>
        <v>1674</v>
      </c>
      <c r="W224" s="18">
        <f>SUMPRODUCT(M209:W209,AA219:AK219)</f>
        <v>1692</v>
      </c>
      <c r="X224" s="18">
        <f>SUMPRODUCT(M209:X209,Z219:AK219)</f>
        <v>1692</v>
      </c>
      <c r="Y224" s="18">
        <f>SUMPRODUCT(M209:Y209,Y219:AK219)</f>
        <v>1746</v>
      </c>
      <c r="Z224" s="18">
        <f>SUMPRODUCT(M209:Z209,X219:AK219)</f>
        <v>1746</v>
      </c>
      <c r="AA224" s="18">
        <f>SUMPRODUCT(M209:AA209,W219:AK219)</f>
        <v>1764</v>
      </c>
      <c r="AB224" s="18">
        <f>SUMPRODUCT(M209:AB209,V219:AK219)</f>
        <v>1836</v>
      </c>
      <c r="AC224" s="18">
        <f>SUMPRODUCT(M209:AC209,U219:AK219)</f>
        <v>1836</v>
      </c>
      <c r="AD224" s="18">
        <f>SUMPRODUCT(M209:AD209,T219:AK219)</f>
        <v>1836</v>
      </c>
      <c r="AE224" s="18">
        <f>SUMPRODUCT(M209:AE209,S219:AK219)</f>
        <v>1836</v>
      </c>
      <c r="AF224" s="18">
        <f>SUMPRODUCT(M209:AF209,R219:AK219)</f>
        <v>1836</v>
      </c>
      <c r="AG224" s="18">
        <f>SUMPRODUCT(M209:AG209,Q219:AK219)</f>
        <v>1836</v>
      </c>
      <c r="AH224" s="18">
        <f>SUMPRODUCT(M209:AH209,P219:AK219)</f>
        <v>1836</v>
      </c>
      <c r="AI224" s="18">
        <f>SUMPRODUCT(M209:AI209,O219:AK219)</f>
        <v>1836</v>
      </c>
      <c r="AJ224" s="18">
        <f>SUMPRODUCT(M209:AJ209,N219:AK219)</f>
        <v>1836</v>
      </c>
      <c r="AK224" s="18">
        <f>SUMPRODUCT(M209:AK209,M219:AK219)</f>
        <v>1836</v>
      </c>
      <c r="AL224" s="1"/>
      <c r="AM224" s="1"/>
    </row>
    <row r="225" spans="1:39" x14ac:dyDescent="0.25">
      <c r="A225" s="1"/>
      <c r="B225" s="1"/>
      <c r="C225" s="1"/>
      <c r="D225" s="7"/>
      <c r="E225" s="1"/>
      <c r="F225" s="1"/>
      <c r="G225" s="1"/>
      <c r="H225" s="1"/>
      <c r="I225" s="1"/>
      <c r="J225" s="1"/>
      <c r="K225" s="1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s="8" customFormat="1" x14ac:dyDescent="0.25">
      <c r="A226" s="7"/>
      <c r="B226" s="7"/>
      <c r="C226" s="7"/>
      <c r="D226" s="7"/>
      <c r="E226" s="7"/>
      <c r="F226" s="7" t="str">
        <f>KPI!$F$56</f>
        <v>кол-во штатных охранников на одну парковку</v>
      </c>
      <c r="G226" s="7"/>
      <c r="H226" s="7" t="str">
        <f>INDEX(KPI!$H:$H,SUMIFS(KPI!$D:$D,KPI!$F:$F,$F226))</f>
        <v>кол-во</v>
      </c>
      <c r="I226" s="7"/>
      <c r="J226" s="7"/>
      <c r="K226" s="7"/>
      <c r="L226" s="10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7"/>
      <c r="AM226" s="7"/>
    </row>
    <row r="227" spans="1:39" s="4" customFormat="1" ht="10.199999999999999" x14ac:dyDescent="0.2">
      <c r="A227" s="3"/>
      <c r="B227" s="3"/>
      <c r="C227" s="3"/>
      <c r="D227" s="9"/>
      <c r="E227" s="3"/>
      <c r="F227" s="5" t="str">
        <f>структура!$H$9</f>
        <v>в т.ч.</v>
      </c>
      <c r="G227" s="3"/>
      <c r="H227" s="3"/>
      <c r="I227" s="3"/>
      <c r="J227" s="3"/>
      <c r="K227" s="3"/>
      <c r="L227" s="1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x14ac:dyDescent="0.25">
      <c r="A228" s="1"/>
      <c r="B228" s="1"/>
      <c r="C228" s="1"/>
      <c r="D228" s="7"/>
      <c r="E228" s="1"/>
      <c r="F228" s="6" t="str">
        <f>структура!$F$9</f>
        <v>народный гараж</v>
      </c>
      <c r="G228" s="1"/>
      <c r="H228" s="1" t="str">
        <f>H226</f>
        <v>кол-во</v>
      </c>
      <c r="I228" s="1"/>
      <c r="J228" s="1"/>
      <c r="K228" s="1"/>
      <c r="L228" s="10" t="s">
        <v>10</v>
      </c>
      <c r="M228" s="30">
        <v>1</v>
      </c>
      <c r="N228" s="30">
        <v>1</v>
      </c>
      <c r="O228" s="30">
        <v>1</v>
      </c>
      <c r="P228" s="30">
        <v>1</v>
      </c>
      <c r="Q228" s="30">
        <v>1</v>
      </c>
      <c r="R228" s="30">
        <v>1</v>
      </c>
      <c r="S228" s="30">
        <v>1</v>
      </c>
      <c r="T228" s="30">
        <v>1</v>
      </c>
      <c r="U228" s="30">
        <v>1</v>
      </c>
      <c r="V228" s="30">
        <v>1</v>
      </c>
      <c r="W228" s="30">
        <v>1</v>
      </c>
      <c r="X228" s="30">
        <v>1</v>
      </c>
      <c r="Y228" s="30">
        <v>1</v>
      </c>
      <c r="Z228" s="30">
        <v>1</v>
      </c>
      <c r="AA228" s="30">
        <v>1</v>
      </c>
      <c r="AB228" s="30">
        <v>1</v>
      </c>
      <c r="AC228" s="30">
        <v>1</v>
      </c>
      <c r="AD228" s="30">
        <v>1</v>
      </c>
      <c r="AE228" s="30">
        <v>1</v>
      </c>
      <c r="AF228" s="30">
        <v>1</v>
      </c>
      <c r="AG228" s="30">
        <v>1</v>
      </c>
      <c r="AH228" s="30">
        <v>1</v>
      </c>
      <c r="AI228" s="30">
        <v>1</v>
      </c>
      <c r="AJ228" s="30">
        <v>1</v>
      </c>
      <c r="AK228" s="30">
        <v>1</v>
      </c>
      <c r="AL228" s="1"/>
      <c r="AM228" s="1"/>
    </row>
    <row r="229" spans="1:39" x14ac:dyDescent="0.25">
      <c r="A229" s="1"/>
      <c r="B229" s="1"/>
      <c r="C229" s="1"/>
      <c r="D229" s="7"/>
      <c r="E229" s="1"/>
      <c r="F229" s="6" t="str">
        <f>структура!$F$10</f>
        <v>хозяйственное ведение</v>
      </c>
      <c r="G229" s="1"/>
      <c r="H229" s="1" t="str">
        <f>H226</f>
        <v>кол-во</v>
      </c>
      <c r="I229" s="1"/>
      <c r="J229" s="1"/>
      <c r="K229" s="1"/>
      <c r="L229" s="10" t="s">
        <v>10</v>
      </c>
      <c r="M229" s="30">
        <v>2</v>
      </c>
      <c r="N229" s="30">
        <v>2</v>
      </c>
      <c r="O229" s="30">
        <v>2</v>
      </c>
      <c r="P229" s="30">
        <v>2</v>
      </c>
      <c r="Q229" s="30">
        <v>2</v>
      </c>
      <c r="R229" s="30">
        <v>2</v>
      </c>
      <c r="S229" s="30">
        <v>2</v>
      </c>
      <c r="T229" s="30">
        <v>2</v>
      </c>
      <c r="U229" s="30">
        <v>2</v>
      </c>
      <c r="V229" s="30">
        <v>2</v>
      </c>
      <c r="W229" s="30">
        <v>2</v>
      </c>
      <c r="X229" s="30">
        <v>2</v>
      </c>
      <c r="Y229" s="30">
        <v>2</v>
      </c>
      <c r="Z229" s="30">
        <v>2</v>
      </c>
      <c r="AA229" s="30">
        <v>2</v>
      </c>
      <c r="AB229" s="30">
        <v>2</v>
      </c>
      <c r="AC229" s="30">
        <v>2</v>
      </c>
      <c r="AD229" s="30">
        <v>2</v>
      </c>
      <c r="AE229" s="30">
        <v>2</v>
      </c>
      <c r="AF229" s="30">
        <v>2</v>
      </c>
      <c r="AG229" s="30">
        <v>2</v>
      </c>
      <c r="AH229" s="30">
        <v>2</v>
      </c>
      <c r="AI229" s="30">
        <v>2</v>
      </c>
      <c r="AJ229" s="30">
        <v>2</v>
      </c>
      <c r="AK229" s="30">
        <v>2</v>
      </c>
      <c r="AL229" s="1"/>
      <c r="AM229" s="1"/>
    </row>
    <row r="230" spans="1:39" x14ac:dyDescent="0.25">
      <c r="A230" s="1"/>
      <c r="B230" s="1"/>
      <c r="C230" s="1"/>
      <c r="D230" s="7"/>
      <c r="E230" s="1"/>
      <c r="F230" s="1"/>
      <c r="G230" s="1"/>
      <c r="H230" s="1"/>
      <c r="I230" s="1"/>
      <c r="J230" s="1"/>
      <c r="K230" s="1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s="8" customFormat="1" x14ac:dyDescent="0.25">
      <c r="A231" s="7"/>
      <c r="B231" s="7"/>
      <c r="C231" s="7"/>
      <c r="D231" s="7"/>
      <c r="E231" s="7"/>
      <c r="F231" s="7" t="str">
        <f>KPI!$F$57</f>
        <v>оклад 1ого охранника</v>
      </c>
      <c r="G231" s="7"/>
      <c r="H231" s="7" t="str">
        <f>INDEX(KPI!$H:$H,SUMIFS(KPI!$D:$D,KPI!$F:$F,$F231))</f>
        <v>тыс.руб.</v>
      </c>
      <c r="I231" s="7"/>
      <c r="J231" s="7"/>
      <c r="K231" s="7"/>
      <c r="L231" s="10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7"/>
      <c r="AM231" s="7"/>
    </row>
    <row r="232" spans="1:39" s="4" customFormat="1" ht="10.199999999999999" x14ac:dyDescent="0.2">
      <c r="A232" s="3"/>
      <c r="B232" s="3"/>
      <c r="C232" s="3"/>
      <c r="D232" s="9"/>
      <c r="E232" s="3"/>
      <c r="F232" s="5" t="str">
        <f>структура!$H$9</f>
        <v>в т.ч.</v>
      </c>
      <c r="G232" s="3"/>
      <c r="H232" s="3"/>
      <c r="I232" s="3"/>
      <c r="J232" s="3"/>
      <c r="K232" s="3"/>
      <c r="L232" s="1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x14ac:dyDescent="0.25">
      <c r="A233" s="1"/>
      <c r="B233" s="1"/>
      <c r="C233" s="1"/>
      <c r="D233" s="7"/>
      <c r="E233" s="1"/>
      <c r="F233" s="6" t="str">
        <f>структура!$F$9</f>
        <v>народный гараж</v>
      </c>
      <c r="G233" s="1"/>
      <c r="H233" s="1" t="str">
        <f>H231</f>
        <v>тыс.руб.</v>
      </c>
      <c r="I233" s="1"/>
      <c r="J233" s="1"/>
      <c r="K233" s="1"/>
      <c r="L233" s="10" t="s">
        <v>10</v>
      </c>
      <c r="M233" s="30">
        <v>45</v>
      </c>
      <c r="N233" s="30">
        <v>45</v>
      </c>
      <c r="O233" s="30">
        <v>45</v>
      </c>
      <c r="P233" s="30">
        <v>45</v>
      </c>
      <c r="Q233" s="30">
        <v>45</v>
      </c>
      <c r="R233" s="30">
        <v>45</v>
      </c>
      <c r="S233" s="30">
        <v>45</v>
      </c>
      <c r="T233" s="30">
        <v>45</v>
      </c>
      <c r="U233" s="30">
        <v>45</v>
      </c>
      <c r="V233" s="30">
        <v>45</v>
      </c>
      <c r="W233" s="30">
        <v>45</v>
      </c>
      <c r="X233" s="30">
        <v>45</v>
      </c>
      <c r="Y233" s="30">
        <v>45</v>
      </c>
      <c r="Z233" s="30">
        <v>45</v>
      </c>
      <c r="AA233" s="30">
        <v>45</v>
      </c>
      <c r="AB233" s="30">
        <v>45</v>
      </c>
      <c r="AC233" s="30">
        <v>45</v>
      </c>
      <c r="AD233" s="30">
        <v>45</v>
      </c>
      <c r="AE233" s="30">
        <v>45</v>
      </c>
      <c r="AF233" s="30">
        <v>45</v>
      </c>
      <c r="AG233" s="30">
        <v>45</v>
      </c>
      <c r="AH233" s="30">
        <v>45</v>
      </c>
      <c r="AI233" s="30">
        <v>45</v>
      </c>
      <c r="AJ233" s="30">
        <v>45</v>
      </c>
      <c r="AK233" s="30">
        <v>45</v>
      </c>
      <c r="AL233" s="1"/>
      <c r="AM233" s="1"/>
    </row>
    <row r="234" spans="1:39" x14ac:dyDescent="0.25">
      <c r="A234" s="1"/>
      <c r="B234" s="1"/>
      <c r="C234" s="1"/>
      <c r="D234" s="7"/>
      <c r="E234" s="1"/>
      <c r="F234" s="6" t="str">
        <f>структура!$F$10</f>
        <v>хозяйственное ведение</v>
      </c>
      <c r="G234" s="1"/>
      <c r="H234" s="1" t="str">
        <f>H231</f>
        <v>тыс.руб.</v>
      </c>
      <c r="I234" s="1"/>
      <c r="J234" s="1"/>
      <c r="K234" s="1"/>
      <c r="L234" s="10" t="s">
        <v>10</v>
      </c>
      <c r="M234" s="30">
        <v>50</v>
      </c>
      <c r="N234" s="30">
        <v>50</v>
      </c>
      <c r="O234" s="30">
        <v>50</v>
      </c>
      <c r="P234" s="30">
        <v>50</v>
      </c>
      <c r="Q234" s="30">
        <v>50</v>
      </c>
      <c r="R234" s="30">
        <v>50</v>
      </c>
      <c r="S234" s="30">
        <v>50</v>
      </c>
      <c r="T234" s="30">
        <v>50</v>
      </c>
      <c r="U234" s="30">
        <v>50</v>
      </c>
      <c r="V234" s="30">
        <v>50</v>
      </c>
      <c r="W234" s="30">
        <v>50</v>
      </c>
      <c r="X234" s="30">
        <v>50</v>
      </c>
      <c r="Y234" s="30">
        <v>50</v>
      </c>
      <c r="Z234" s="30">
        <v>50</v>
      </c>
      <c r="AA234" s="30">
        <v>50</v>
      </c>
      <c r="AB234" s="30">
        <v>50</v>
      </c>
      <c r="AC234" s="30">
        <v>50</v>
      </c>
      <c r="AD234" s="30">
        <v>50</v>
      </c>
      <c r="AE234" s="30">
        <v>50</v>
      </c>
      <c r="AF234" s="30">
        <v>50</v>
      </c>
      <c r="AG234" s="30">
        <v>50</v>
      </c>
      <c r="AH234" s="30">
        <v>50</v>
      </c>
      <c r="AI234" s="30">
        <v>50</v>
      </c>
      <c r="AJ234" s="30">
        <v>50</v>
      </c>
      <c r="AK234" s="30">
        <v>50</v>
      </c>
      <c r="AL234" s="1"/>
      <c r="AM234" s="1"/>
    </row>
    <row r="235" spans="1:39" x14ac:dyDescent="0.25">
      <c r="A235" s="1"/>
      <c r="B235" s="1"/>
      <c r="C235" s="1"/>
      <c r="D235" s="7"/>
      <c r="E235" s="1"/>
      <c r="F235" s="1"/>
      <c r="G235" s="1"/>
      <c r="H235" s="1"/>
      <c r="I235" s="1"/>
      <c r="J235" s="1"/>
      <c r="K235" s="1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s="8" customFormat="1" x14ac:dyDescent="0.25">
      <c r="A236" s="7"/>
      <c r="B236" s="7"/>
      <c r="C236" s="7"/>
      <c r="D236" s="27"/>
      <c r="E236" s="7"/>
      <c r="F236" s="27" t="str">
        <f>KPI!$F$58</f>
        <v>ФОТ охранников</v>
      </c>
      <c r="G236" s="7"/>
      <c r="H236" s="27" t="str">
        <f>INDEX(KPI!$H:$H,SUMIFS(KPI!$D:$D,KPI!$F:$F,$F236))</f>
        <v>тыс.руб.</v>
      </c>
      <c r="I236" s="7"/>
      <c r="J236" s="7"/>
      <c r="K236" s="7"/>
      <c r="L236" s="10"/>
      <c r="M236" s="28">
        <f>SUM(M237:M239)</f>
        <v>10540</v>
      </c>
      <c r="N236" s="28">
        <f t="shared" ref="N236:AK236" si="150">SUM(N237:N239)</f>
        <v>11165</v>
      </c>
      <c r="O236" s="28">
        <f t="shared" si="150"/>
        <v>11690</v>
      </c>
      <c r="P236" s="28">
        <f t="shared" si="150"/>
        <v>11735</v>
      </c>
      <c r="Q236" s="28">
        <f t="shared" si="150"/>
        <v>12205</v>
      </c>
      <c r="R236" s="28">
        <f t="shared" si="150"/>
        <v>13150</v>
      </c>
      <c r="S236" s="28">
        <f t="shared" si="150"/>
        <v>13610</v>
      </c>
      <c r="T236" s="28">
        <f t="shared" si="150"/>
        <v>14080</v>
      </c>
      <c r="U236" s="28">
        <f t="shared" si="150"/>
        <v>14795</v>
      </c>
      <c r="V236" s="28">
        <f t="shared" si="150"/>
        <v>15690</v>
      </c>
      <c r="W236" s="28">
        <f t="shared" si="150"/>
        <v>15970</v>
      </c>
      <c r="X236" s="28">
        <f t="shared" si="150"/>
        <v>15970</v>
      </c>
      <c r="Y236" s="28">
        <f t="shared" si="150"/>
        <v>16360</v>
      </c>
      <c r="Z236" s="28">
        <f t="shared" si="150"/>
        <v>16360</v>
      </c>
      <c r="AA236" s="28">
        <f t="shared" si="150"/>
        <v>16595</v>
      </c>
      <c r="AB236" s="28">
        <f t="shared" si="150"/>
        <v>17265</v>
      </c>
      <c r="AC236" s="28">
        <f t="shared" si="150"/>
        <v>17265</v>
      </c>
      <c r="AD236" s="28">
        <f t="shared" si="150"/>
        <v>17265</v>
      </c>
      <c r="AE236" s="28">
        <f t="shared" si="150"/>
        <v>17265</v>
      </c>
      <c r="AF236" s="28">
        <f t="shared" si="150"/>
        <v>17265</v>
      </c>
      <c r="AG236" s="28">
        <f t="shared" si="150"/>
        <v>17265</v>
      </c>
      <c r="AH236" s="28">
        <f t="shared" si="150"/>
        <v>17265</v>
      </c>
      <c r="AI236" s="28">
        <f t="shared" si="150"/>
        <v>17265</v>
      </c>
      <c r="AJ236" s="28">
        <f t="shared" si="150"/>
        <v>17265</v>
      </c>
      <c r="AK236" s="28">
        <f t="shared" si="150"/>
        <v>17265</v>
      </c>
      <c r="AL236" s="7"/>
      <c r="AM236" s="7"/>
    </row>
    <row r="237" spans="1:39" s="4" customFormat="1" ht="10.199999999999999" x14ac:dyDescent="0.2">
      <c r="A237" s="3"/>
      <c r="B237" s="3"/>
      <c r="C237" s="3"/>
      <c r="D237" s="9"/>
      <c r="E237" s="3"/>
      <c r="F237" s="5" t="str">
        <f>структура!$H$9</f>
        <v>в т.ч.</v>
      </c>
      <c r="G237" s="3"/>
      <c r="H237" s="3"/>
      <c r="I237" s="3"/>
      <c r="J237" s="3"/>
      <c r="K237" s="3"/>
      <c r="L237" s="1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x14ac:dyDescent="0.25">
      <c r="A238" s="1"/>
      <c r="B238" s="1"/>
      <c r="C238" s="1"/>
      <c r="D238" s="7"/>
      <c r="E238" s="1"/>
      <c r="F238" s="6" t="str">
        <f>структура!$F$9</f>
        <v>народный гараж</v>
      </c>
      <c r="G238" s="1"/>
      <c r="H238" s="1" t="str">
        <f>H236</f>
        <v>тыс.руб.</v>
      </c>
      <c r="I238" s="1"/>
      <c r="J238" s="1"/>
      <c r="K238" s="1"/>
      <c r="L238" s="10"/>
      <c r="M238" s="18">
        <f>M12*M228*M233</f>
        <v>4140</v>
      </c>
      <c r="N238" s="18">
        <f t="shared" ref="N238:AK238" si="151">N12*N228*N233</f>
        <v>4365</v>
      </c>
      <c r="O238" s="18">
        <f t="shared" si="151"/>
        <v>4590</v>
      </c>
      <c r="P238" s="18">
        <f t="shared" si="151"/>
        <v>4635</v>
      </c>
      <c r="Q238" s="18">
        <f t="shared" si="151"/>
        <v>4905</v>
      </c>
      <c r="R238" s="18">
        <f t="shared" si="151"/>
        <v>4950</v>
      </c>
      <c r="S238" s="18">
        <f t="shared" si="151"/>
        <v>5310</v>
      </c>
      <c r="T238" s="18">
        <f t="shared" si="151"/>
        <v>5580</v>
      </c>
      <c r="U238" s="18">
        <f t="shared" si="151"/>
        <v>5895</v>
      </c>
      <c r="V238" s="18">
        <f t="shared" si="151"/>
        <v>6390</v>
      </c>
      <c r="W238" s="18">
        <f t="shared" si="151"/>
        <v>6570</v>
      </c>
      <c r="X238" s="18">
        <f t="shared" si="151"/>
        <v>6570</v>
      </c>
      <c r="Y238" s="18">
        <f t="shared" si="151"/>
        <v>6660</v>
      </c>
      <c r="Z238" s="18">
        <f t="shared" si="151"/>
        <v>6660</v>
      </c>
      <c r="AA238" s="18">
        <f t="shared" si="151"/>
        <v>6795</v>
      </c>
      <c r="AB238" s="18">
        <f t="shared" si="151"/>
        <v>7065</v>
      </c>
      <c r="AC238" s="18">
        <f t="shared" si="151"/>
        <v>7065</v>
      </c>
      <c r="AD238" s="18">
        <f t="shared" si="151"/>
        <v>7065</v>
      </c>
      <c r="AE238" s="18">
        <f t="shared" si="151"/>
        <v>7065</v>
      </c>
      <c r="AF238" s="18">
        <f t="shared" si="151"/>
        <v>7065</v>
      </c>
      <c r="AG238" s="18">
        <f t="shared" si="151"/>
        <v>7065</v>
      </c>
      <c r="AH238" s="18">
        <f t="shared" si="151"/>
        <v>7065</v>
      </c>
      <c r="AI238" s="18">
        <f t="shared" si="151"/>
        <v>7065</v>
      </c>
      <c r="AJ238" s="18">
        <f t="shared" si="151"/>
        <v>7065</v>
      </c>
      <c r="AK238" s="18">
        <f t="shared" si="151"/>
        <v>7065</v>
      </c>
      <c r="AL238" s="1"/>
      <c r="AM238" s="1"/>
    </row>
    <row r="239" spans="1:39" x14ac:dyDescent="0.25">
      <c r="A239" s="1"/>
      <c r="B239" s="1"/>
      <c r="C239" s="1"/>
      <c r="D239" s="7"/>
      <c r="E239" s="1"/>
      <c r="F239" s="6" t="str">
        <f>структура!$F$10</f>
        <v>хозяйственное ведение</v>
      </c>
      <c r="G239" s="1"/>
      <c r="H239" s="1" t="str">
        <f>H236</f>
        <v>тыс.руб.</v>
      </c>
      <c r="I239" s="1"/>
      <c r="J239" s="1"/>
      <c r="K239" s="1"/>
      <c r="L239" s="10"/>
      <c r="M239" s="18">
        <f>M13*M229*M234</f>
        <v>6400</v>
      </c>
      <c r="N239" s="18">
        <f t="shared" ref="N239:AK239" si="152">N13*N229*N234</f>
        <v>6800</v>
      </c>
      <c r="O239" s="18">
        <f t="shared" si="152"/>
        <v>7100</v>
      </c>
      <c r="P239" s="18">
        <f t="shared" si="152"/>
        <v>7100</v>
      </c>
      <c r="Q239" s="18">
        <f t="shared" si="152"/>
        <v>7300</v>
      </c>
      <c r="R239" s="18">
        <f t="shared" si="152"/>
        <v>8200</v>
      </c>
      <c r="S239" s="18">
        <f t="shared" si="152"/>
        <v>8300</v>
      </c>
      <c r="T239" s="18">
        <f t="shared" si="152"/>
        <v>8500</v>
      </c>
      <c r="U239" s="18">
        <f t="shared" si="152"/>
        <v>8900</v>
      </c>
      <c r="V239" s="18">
        <f t="shared" si="152"/>
        <v>9300</v>
      </c>
      <c r="W239" s="18">
        <f t="shared" si="152"/>
        <v>9400</v>
      </c>
      <c r="X239" s="18">
        <f t="shared" si="152"/>
        <v>9400</v>
      </c>
      <c r="Y239" s="18">
        <f t="shared" si="152"/>
        <v>9700</v>
      </c>
      <c r="Z239" s="18">
        <f t="shared" si="152"/>
        <v>9700</v>
      </c>
      <c r="AA239" s="18">
        <f t="shared" si="152"/>
        <v>9800</v>
      </c>
      <c r="AB239" s="18">
        <f t="shared" si="152"/>
        <v>10200</v>
      </c>
      <c r="AC239" s="18">
        <f t="shared" si="152"/>
        <v>10200</v>
      </c>
      <c r="AD239" s="18">
        <f t="shared" si="152"/>
        <v>10200</v>
      </c>
      <c r="AE239" s="18">
        <f t="shared" si="152"/>
        <v>10200</v>
      </c>
      <c r="AF239" s="18">
        <f t="shared" si="152"/>
        <v>10200</v>
      </c>
      <c r="AG239" s="18">
        <f t="shared" si="152"/>
        <v>10200</v>
      </c>
      <c r="AH239" s="18">
        <f t="shared" si="152"/>
        <v>10200</v>
      </c>
      <c r="AI239" s="18">
        <f t="shared" si="152"/>
        <v>10200</v>
      </c>
      <c r="AJ239" s="18">
        <f t="shared" si="152"/>
        <v>10200</v>
      </c>
      <c r="AK239" s="18">
        <f t="shared" si="152"/>
        <v>10200</v>
      </c>
      <c r="AL239" s="1"/>
      <c r="AM239" s="1"/>
    </row>
    <row r="240" spans="1:39" x14ac:dyDescent="0.25">
      <c r="A240" s="1"/>
      <c r="B240" s="1"/>
      <c r="C240" s="1"/>
      <c r="D240" s="7"/>
      <c r="E240" s="1"/>
      <c r="F240" s="1"/>
      <c r="G240" s="1"/>
      <c r="H240" s="1"/>
      <c r="I240" s="1"/>
      <c r="J240" s="1"/>
      <c r="K240" s="1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s="8" customFormat="1" x14ac:dyDescent="0.25">
      <c r="A241" s="7"/>
      <c r="B241" s="7"/>
      <c r="C241" s="7"/>
      <c r="D241" s="7" t="str">
        <f>структура!$D$15</f>
        <v>Списания ДС</v>
      </c>
      <c r="E241" s="7"/>
      <c r="F241" s="7" t="str">
        <f>KPI!$F$59</f>
        <v>распределение выплат ФОТ охранников</v>
      </c>
      <c r="G241" s="7"/>
      <c r="H241" s="7" t="str">
        <f>INDEX(KPI!$H:$H,SUMIFS(KPI!$D:$D,KPI!$F:$F,$F241))</f>
        <v>%</v>
      </c>
      <c r="I241" s="7"/>
      <c r="J241" s="7"/>
      <c r="K241" s="7"/>
      <c r="L241" s="10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7"/>
      <c r="AM241" s="7"/>
    </row>
    <row r="242" spans="1:39" s="4" customFormat="1" ht="10.199999999999999" x14ac:dyDescent="0.2">
      <c r="A242" s="3"/>
      <c r="B242" s="3"/>
      <c r="C242" s="3"/>
      <c r="D242" s="9"/>
      <c r="E242" s="3"/>
      <c r="F242" s="5" t="str">
        <f>структура!$H$9</f>
        <v>в т.ч.</v>
      </c>
      <c r="G242" s="3"/>
      <c r="H242" s="3"/>
      <c r="I242" s="3"/>
      <c r="J242" s="3"/>
      <c r="K242" s="3"/>
      <c r="L242" s="1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x14ac:dyDescent="0.25">
      <c r="A243" s="1"/>
      <c r="B243" s="1"/>
      <c r="C243" s="1"/>
      <c r="D243" s="7"/>
      <c r="E243" s="1"/>
      <c r="F243" s="6" t="str">
        <f>структура!$F$9</f>
        <v>народный гараж</v>
      </c>
      <c r="G243" s="1"/>
      <c r="H243" s="1" t="str">
        <f>H241</f>
        <v>%</v>
      </c>
      <c r="I243" s="1"/>
      <c r="J243" s="1"/>
      <c r="K243" s="1"/>
      <c r="L243" s="10" t="s">
        <v>10</v>
      </c>
      <c r="M243" s="24">
        <v>0.5</v>
      </c>
      <c r="N243" s="24">
        <v>0.5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5">
        <v>0</v>
      </c>
      <c r="AK243" s="26">
        <f>100%-SUM(M243:AJ243)</f>
        <v>0</v>
      </c>
      <c r="AL243" s="1"/>
      <c r="AM243" s="1"/>
    </row>
    <row r="244" spans="1:39" x14ac:dyDescent="0.25">
      <c r="A244" s="1"/>
      <c r="B244" s="1"/>
      <c r="C244" s="1"/>
      <c r="D244" s="7"/>
      <c r="E244" s="1"/>
      <c r="F244" s="6" t="str">
        <f>структура!$F$10</f>
        <v>хозяйственное ведение</v>
      </c>
      <c r="G244" s="1"/>
      <c r="H244" s="1" t="str">
        <f>H241</f>
        <v>%</v>
      </c>
      <c r="I244" s="1"/>
      <c r="J244" s="1"/>
      <c r="K244" s="1"/>
      <c r="L244" s="10" t="s">
        <v>10</v>
      </c>
      <c r="M244" s="24">
        <v>0.5</v>
      </c>
      <c r="N244" s="24">
        <v>0.5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5">
        <v>0</v>
      </c>
      <c r="AK244" s="26">
        <f>100%-SUM(M244:AJ244)</f>
        <v>0</v>
      </c>
      <c r="AL244" s="1"/>
      <c r="AM244" s="1"/>
    </row>
    <row r="245" spans="1:39" x14ac:dyDescent="0.25">
      <c r="A245" s="1"/>
      <c r="B245" s="1"/>
      <c r="C245" s="1"/>
      <c r="D245" s="7"/>
      <c r="E245" s="1"/>
      <c r="F245" s="1"/>
      <c r="G245" s="1"/>
      <c r="H245" s="1"/>
      <c r="I245" s="1"/>
      <c r="J245" s="1"/>
      <c r="K245" s="1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s="8" customFormat="1" x14ac:dyDescent="0.25">
      <c r="A246" s="7"/>
      <c r="B246" s="7"/>
      <c r="C246" s="7"/>
      <c r="D246" s="7"/>
      <c r="E246" s="7"/>
      <c r="F246" s="7" t="str">
        <f>KPI!$F$60</f>
        <v>обратное распр-ние выплат ФОТ охранников</v>
      </c>
      <c r="G246" s="7"/>
      <c r="H246" s="7" t="str">
        <f>INDEX(KPI!$H:$H,SUMIFS(KPI!$D:$D,KPI!$F:$F,$F246))</f>
        <v>%</v>
      </c>
      <c r="I246" s="7"/>
      <c r="J246" s="7"/>
      <c r="K246" s="7"/>
      <c r="L246" s="10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7"/>
      <c r="AM246" s="7"/>
    </row>
    <row r="247" spans="1:39" s="4" customFormat="1" ht="10.199999999999999" x14ac:dyDescent="0.2">
      <c r="A247" s="3"/>
      <c r="B247" s="3"/>
      <c r="C247" s="3"/>
      <c r="D247" s="9"/>
      <c r="E247" s="3"/>
      <c r="F247" s="5" t="str">
        <f>структура!$H$9</f>
        <v>в т.ч.</v>
      </c>
      <c r="G247" s="3"/>
      <c r="H247" s="3"/>
      <c r="I247" s="3"/>
      <c r="J247" s="3"/>
      <c r="K247" s="3"/>
      <c r="L247" s="1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x14ac:dyDescent="0.25">
      <c r="A248" s="1"/>
      <c r="B248" s="1"/>
      <c r="C248" s="1"/>
      <c r="D248" s="7"/>
      <c r="E248" s="1"/>
      <c r="F248" s="6" t="str">
        <f>структура!$F$9</f>
        <v>народный гараж</v>
      </c>
      <c r="G248" s="1"/>
      <c r="H248" s="1" t="str">
        <f>H246</f>
        <v>%</v>
      </c>
      <c r="I248" s="1"/>
      <c r="J248" s="1"/>
      <c r="K248" s="1"/>
      <c r="L248" s="10"/>
      <c r="M248" s="23">
        <f t="shared" ref="M248:AK248" si="153">SUMIFS(243:243,$1:$1,M$2)</f>
        <v>0</v>
      </c>
      <c r="N248" s="23">
        <f t="shared" si="153"/>
        <v>0</v>
      </c>
      <c r="O248" s="23">
        <f t="shared" si="153"/>
        <v>0</v>
      </c>
      <c r="P248" s="23">
        <f t="shared" si="153"/>
        <v>0</v>
      </c>
      <c r="Q248" s="23">
        <f t="shared" si="153"/>
        <v>0</v>
      </c>
      <c r="R248" s="23">
        <f t="shared" si="153"/>
        <v>0</v>
      </c>
      <c r="S248" s="23">
        <f t="shared" si="153"/>
        <v>0</v>
      </c>
      <c r="T248" s="23">
        <f t="shared" si="153"/>
        <v>0</v>
      </c>
      <c r="U248" s="23">
        <f t="shared" si="153"/>
        <v>0</v>
      </c>
      <c r="V248" s="23">
        <f t="shared" si="153"/>
        <v>0</v>
      </c>
      <c r="W248" s="23">
        <f t="shared" si="153"/>
        <v>0</v>
      </c>
      <c r="X248" s="23">
        <f t="shared" si="153"/>
        <v>0</v>
      </c>
      <c r="Y248" s="23">
        <f t="shared" si="153"/>
        <v>0</v>
      </c>
      <c r="Z248" s="23">
        <f t="shared" si="153"/>
        <v>0</v>
      </c>
      <c r="AA248" s="23">
        <f t="shared" si="153"/>
        <v>0</v>
      </c>
      <c r="AB248" s="23">
        <f t="shared" si="153"/>
        <v>0</v>
      </c>
      <c r="AC248" s="23">
        <f t="shared" si="153"/>
        <v>0</v>
      </c>
      <c r="AD248" s="23">
        <f t="shared" si="153"/>
        <v>0</v>
      </c>
      <c r="AE248" s="23">
        <f t="shared" si="153"/>
        <v>0</v>
      </c>
      <c r="AF248" s="23">
        <f t="shared" si="153"/>
        <v>0</v>
      </c>
      <c r="AG248" s="23">
        <f t="shared" si="153"/>
        <v>0</v>
      </c>
      <c r="AH248" s="23">
        <f t="shared" si="153"/>
        <v>0</v>
      </c>
      <c r="AI248" s="23">
        <f t="shared" si="153"/>
        <v>0</v>
      </c>
      <c r="AJ248" s="23">
        <f t="shared" si="153"/>
        <v>0.5</v>
      </c>
      <c r="AK248" s="23">
        <f t="shared" si="153"/>
        <v>0.5</v>
      </c>
      <c r="AL248" s="1"/>
      <c r="AM248" s="1"/>
    </row>
    <row r="249" spans="1:39" x14ac:dyDescent="0.25">
      <c r="A249" s="1"/>
      <c r="B249" s="1"/>
      <c r="C249" s="1"/>
      <c r="D249" s="7"/>
      <c r="E249" s="1"/>
      <c r="F249" s="6" t="str">
        <f>структура!$F$10</f>
        <v>хозяйственное ведение</v>
      </c>
      <c r="G249" s="1"/>
      <c r="H249" s="1" t="str">
        <f>H246</f>
        <v>%</v>
      </c>
      <c r="I249" s="1"/>
      <c r="J249" s="1"/>
      <c r="K249" s="1"/>
      <c r="L249" s="10"/>
      <c r="M249" s="23">
        <f t="shared" ref="M249:AK249" si="154">SUMIFS(244:244,$1:$1,M$2)</f>
        <v>0</v>
      </c>
      <c r="N249" s="23">
        <f t="shared" si="154"/>
        <v>0</v>
      </c>
      <c r="O249" s="23">
        <f t="shared" si="154"/>
        <v>0</v>
      </c>
      <c r="P249" s="23">
        <f t="shared" si="154"/>
        <v>0</v>
      </c>
      <c r="Q249" s="23">
        <f t="shared" si="154"/>
        <v>0</v>
      </c>
      <c r="R249" s="23">
        <f t="shared" si="154"/>
        <v>0</v>
      </c>
      <c r="S249" s="23">
        <f t="shared" si="154"/>
        <v>0</v>
      </c>
      <c r="T249" s="23">
        <f t="shared" si="154"/>
        <v>0</v>
      </c>
      <c r="U249" s="23">
        <f t="shared" si="154"/>
        <v>0</v>
      </c>
      <c r="V249" s="23">
        <f t="shared" si="154"/>
        <v>0</v>
      </c>
      <c r="W249" s="23">
        <f t="shared" si="154"/>
        <v>0</v>
      </c>
      <c r="X249" s="23">
        <f t="shared" si="154"/>
        <v>0</v>
      </c>
      <c r="Y249" s="23">
        <f t="shared" si="154"/>
        <v>0</v>
      </c>
      <c r="Z249" s="23">
        <f t="shared" si="154"/>
        <v>0</v>
      </c>
      <c r="AA249" s="23">
        <f t="shared" si="154"/>
        <v>0</v>
      </c>
      <c r="AB249" s="23">
        <f t="shared" si="154"/>
        <v>0</v>
      </c>
      <c r="AC249" s="23">
        <f t="shared" si="154"/>
        <v>0</v>
      </c>
      <c r="AD249" s="23">
        <f t="shared" si="154"/>
        <v>0</v>
      </c>
      <c r="AE249" s="23">
        <f t="shared" si="154"/>
        <v>0</v>
      </c>
      <c r="AF249" s="23">
        <f t="shared" si="154"/>
        <v>0</v>
      </c>
      <c r="AG249" s="23">
        <f t="shared" si="154"/>
        <v>0</v>
      </c>
      <c r="AH249" s="23">
        <f t="shared" si="154"/>
        <v>0</v>
      </c>
      <c r="AI249" s="23">
        <f t="shared" si="154"/>
        <v>0</v>
      </c>
      <c r="AJ249" s="23">
        <f t="shared" si="154"/>
        <v>0.5</v>
      </c>
      <c r="AK249" s="23">
        <f t="shared" si="154"/>
        <v>0.5</v>
      </c>
      <c r="AL249" s="1"/>
      <c r="AM249" s="1"/>
    </row>
    <row r="250" spans="1:39" x14ac:dyDescent="0.25">
      <c r="A250" s="1"/>
      <c r="B250" s="1"/>
      <c r="C250" s="1"/>
      <c r="D250" s="7"/>
      <c r="E250" s="1"/>
      <c r="F250" s="1"/>
      <c r="G250" s="1"/>
      <c r="H250" s="1"/>
      <c r="I250" s="1"/>
      <c r="J250" s="1"/>
      <c r="K250" s="1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s="8" customFormat="1" x14ac:dyDescent="0.25">
      <c r="A251" s="7"/>
      <c r="B251" s="7"/>
      <c r="C251" s="7"/>
      <c r="D251" s="27" t="str">
        <f>структура!$D$16</f>
        <v>CFOut</v>
      </c>
      <c r="E251" s="7"/>
      <c r="F251" s="27" t="str">
        <f>KPI!$F$61</f>
        <v>оплата ФОТ охранников</v>
      </c>
      <c r="G251" s="7"/>
      <c r="H251" s="27" t="str">
        <f>INDEX(KPI!$H:$H,SUMIFS(KPI!$D:$D,KPI!$F:$F,$F251))</f>
        <v>тыс.руб.</v>
      </c>
      <c r="I251" s="7"/>
      <c r="J251" s="7"/>
      <c r="K251" s="7"/>
      <c r="L251" s="10"/>
      <c r="M251" s="28">
        <f>SUM(M252:M254)</f>
        <v>5270</v>
      </c>
      <c r="N251" s="28">
        <f t="shared" ref="N251:AK251" si="155">SUM(N252:N254)</f>
        <v>10852.5</v>
      </c>
      <c r="O251" s="28">
        <f t="shared" si="155"/>
        <v>11427.5</v>
      </c>
      <c r="P251" s="28">
        <f t="shared" si="155"/>
        <v>11712.5</v>
      </c>
      <c r="Q251" s="28">
        <f t="shared" si="155"/>
        <v>11970</v>
      </c>
      <c r="R251" s="28">
        <f t="shared" si="155"/>
        <v>12677.5</v>
      </c>
      <c r="S251" s="28">
        <f t="shared" si="155"/>
        <v>13380</v>
      </c>
      <c r="T251" s="28">
        <f t="shared" si="155"/>
        <v>13845</v>
      </c>
      <c r="U251" s="28">
        <f t="shared" si="155"/>
        <v>14437.5</v>
      </c>
      <c r="V251" s="28">
        <f t="shared" si="155"/>
        <v>15242.5</v>
      </c>
      <c r="W251" s="28">
        <f t="shared" si="155"/>
        <v>15830</v>
      </c>
      <c r="X251" s="28">
        <f t="shared" si="155"/>
        <v>15970</v>
      </c>
      <c r="Y251" s="28">
        <f t="shared" si="155"/>
        <v>16165</v>
      </c>
      <c r="Z251" s="28">
        <f t="shared" si="155"/>
        <v>16360</v>
      </c>
      <c r="AA251" s="28">
        <f t="shared" si="155"/>
        <v>16477.5</v>
      </c>
      <c r="AB251" s="28">
        <f t="shared" si="155"/>
        <v>16930</v>
      </c>
      <c r="AC251" s="28">
        <f t="shared" si="155"/>
        <v>17265</v>
      </c>
      <c r="AD251" s="28">
        <f t="shared" si="155"/>
        <v>17265</v>
      </c>
      <c r="AE251" s="28">
        <f t="shared" si="155"/>
        <v>17265</v>
      </c>
      <c r="AF251" s="28">
        <f t="shared" si="155"/>
        <v>17265</v>
      </c>
      <c r="AG251" s="28">
        <f t="shared" si="155"/>
        <v>17265</v>
      </c>
      <c r="AH251" s="28">
        <f t="shared" si="155"/>
        <v>17265</v>
      </c>
      <c r="AI251" s="28">
        <f t="shared" si="155"/>
        <v>17265</v>
      </c>
      <c r="AJ251" s="28">
        <f t="shared" si="155"/>
        <v>17265</v>
      </c>
      <c r="AK251" s="28">
        <f t="shared" si="155"/>
        <v>17265</v>
      </c>
      <c r="AL251" s="7"/>
      <c r="AM251" s="7"/>
    </row>
    <row r="252" spans="1:39" s="4" customFormat="1" ht="10.199999999999999" x14ac:dyDescent="0.2">
      <c r="A252" s="3"/>
      <c r="B252" s="3"/>
      <c r="C252" s="3"/>
      <c r="D252" s="9"/>
      <c r="E252" s="3"/>
      <c r="F252" s="5" t="str">
        <f>структура!$H$9</f>
        <v>в т.ч.</v>
      </c>
      <c r="G252" s="3"/>
      <c r="H252" s="3"/>
      <c r="I252" s="3"/>
      <c r="J252" s="3"/>
      <c r="K252" s="3"/>
      <c r="L252" s="1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x14ac:dyDescent="0.25">
      <c r="A253" s="1"/>
      <c r="B253" s="1"/>
      <c r="C253" s="1"/>
      <c r="D253" s="7"/>
      <c r="E253" s="1"/>
      <c r="F253" s="6" t="str">
        <f>структура!$F$9</f>
        <v>народный гараж</v>
      </c>
      <c r="G253" s="1"/>
      <c r="H253" s="1" t="str">
        <f>H251</f>
        <v>тыс.руб.</v>
      </c>
      <c r="I253" s="1"/>
      <c r="J253" s="1"/>
      <c r="K253" s="1"/>
      <c r="L253" s="10"/>
      <c r="M253" s="18">
        <f>SUMPRODUCT(M238:M238,AK248)</f>
        <v>2070</v>
      </c>
      <c r="N253" s="18">
        <f>SUMPRODUCT(M238:N238,AJ248:AK248)</f>
        <v>4252.5</v>
      </c>
      <c r="O253" s="18">
        <f>SUMPRODUCT(M238:O238,AI248:AK248)</f>
        <v>4477.5</v>
      </c>
      <c r="P253" s="18">
        <f>SUMPRODUCT(M238:P238,AH248:AK248)</f>
        <v>4612.5</v>
      </c>
      <c r="Q253" s="18">
        <f>SUMPRODUCT(M238:Q238,AG248:AK248)</f>
        <v>4770</v>
      </c>
      <c r="R253" s="18">
        <f>SUMPRODUCT(M238:R238,AF248:AK248)</f>
        <v>4927.5</v>
      </c>
      <c r="S253" s="18">
        <f>SUMPRODUCT(M238:S238,AE248:AK248)</f>
        <v>5130</v>
      </c>
      <c r="T253" s="18">
        <f>SUMPRODUCT(M238:T238,AD248:AK248)</f>
        <v>5445</v>
      </c>
      <c r="U253" s="18">
        <f>SUMPRODUCT(M238:U238,AC248:AK248)</f>
        <v>5737.5</v>
      </c>
      <c r="V253" s="18">
        <f>SUMPRODUCT(M238:V238,AB248:AK248)</f>
        <v>6142.5</v>
      </c>
      <c r="W253" s="18">
        <f>SUMPRODUCT(M238:W238,AA248:AK248)</f>
        <v>6480</v>
      </c>
      <c r="X253" s="18">
        <f>SUMPRODUCT(M238:X238,Z248:AK248)</f>
        <v>6570</v>
      </c>
      <c r="Y253" s="18">
        <f>SUMPRODUCT(M238:Y238,Y248:AK248)</f>
        <v>6615</v>
      </c>
      <c r="Z253" s="18">
        <f>SUMPRODUCT(M238:Z238,X248:AK248)</f>
        <v>6660</v>
      </c>
      <c r="AA253" s="18">
        <f>SUMPRODUCT(M238:AA238,W248:AK248)</f>
        <v>6727.5</v>
      </c>
      <c r="AB253" s="18">
        <f>SUMPRODUCT(M238:AB238,V248:AK248)</f>
        <v>6930</v>
      </c>
      <c r="AC253" s="18">
        <f>SUMPRODUCT(M238:AC238,U248:AK248)</f>
        <v>7065</v>
      </c>
      <c r="AD253" s="18">
        <f>SUMPRODUCT(M238:AD238,T248:AK248)</f>
        <v>7065</v>
      </c>
      <c r="AE253" s="18">
        <f>SUMPRODUCT(M238:AE238,S248:AK248)</f>
        <v>7065</v>
      </c>
      <c r="AF253" s="18">
        <f>SUMPRODUCT(M238:AF238,R248:AK248)</f>
        <v>7065</v>
      </c>
      <c r="AG253" s="18">
        <f>SUMPRODUCT(M238:AG238,Q248:AK248)</f>
        <v>7065</v>
      </c>
      <c r="AH253" s="18">
        <f>SUMPRODUCT(M238:AH238,P248:AK248)</f>
        <v>7065</v>
      </c>
      <c r="AI253" s="18">
        <f>SUMPRODUCT(M238:AI238,O248:AK248)</f>
        <v>7065</v>
      </c>
      <c r="AJ253" s="18">
        <f>SUMPRODUCT(M238:AJ238,N248:AK248)</f>
        <v>7065</v>
      </c>
      <c r="AK253" s="18">
        <f>SUMPRODUCT(M238:AK238,M248:AK248)</f>
        <v>7065</v>
      </c>
      <c r="AL253" s="1"/>
      <c r="AM253" s="1"/>
    </row>
    <row r="254" spans="1:39" x14ac:dyDescent="0.25">
      <c r="A254" s="1"/>
      <c r="B254" s="1"/>
      <c r="C254" s="1"/>
      <c r="D254" s="7"/>
      <c r="E254" s="1"/>
      <c r="F254" s="6" t="str">
        <f>структура!$F$10</f>
        <v>хозяйственное ведение</v>
      </c>
      <c r="G254" s="1"/>
      <c r="H254" s="1" t="str">
        <f>H251</f>
        <v>тыс.руб.</v>
      </c>
      <c r="I254" s="1"/>
      <c r="J254" s="1"/>
      <c r="K254" s="1"/>
      <c r="L254" s="10"/>
      <c r="M254" s="18">
        <f>SUMPRODUCT(M239:M239,AK249)</f>
        <v>3200</v>
      </c>
      <c r="N254" s="18">
        <f>SUMPRODUCT(M239:N239,AJ249:AK249)</f>
        <v>6600</v>
      </c>
      <c r="O254" s="18">
        <f>SUMPRODUCT(M239:O239,AI249:AK249)</f>
        <v>6950</v>
      </c>
      <c r="P254" s="18">
        <f>SUMPRODUCT(M239:P239,AH249:AK249)</f>
        <v>7100</v>
      </c>
      <c r="Q254" s="18">
        <f>SUMPRODUCT(M239:Q239,AG249:AK249)</f>
        <v>7200</v>
      </c>
      <c r="R254" s="18">
        <f>SUMPRODUCT(M239:R239,AF249:AK249)</f>
        <v>7750</v>
      </c>
      <c r="S254" s="18">
        <f>SUMPRODUCT(M239:S239,AE249:AK249)</f>
        <v>8250</v>
      </c>
      <c r="T254" s="18">
        <f>SUMPRODUCT(M239:T239,AD249:AK249)</f>
        <v>8400</v>
      </c>
      <c r="U254" s="18">
        <f>SUMPRODUCT(M239:U239,AC249:AK249)</f>
        <v>8700</v>
      </c>
      <c r="V254" s="18">
        <f>SUMPRODUCT(M239:V239,AB249:AK249)</f>
        <v>9100</v>
      </c>
      <c r="W254" s="18">
        <f>SUMPRODUCT(M239:W239,AA249:AK249)</f>
        <v>9350</v>
      </c>
      <c r="X254" s="18">
        <f>SUMPRODUCT(M239:X239,Z249:AK249)</f>
        <v>9400</v>
      </c>
      <c r="Y254" s="18">
        <f>SUMPRODUCT(M239:Y239,Y249:AK249)</f>
        <v>9550</v>
      </c>
      <c r="Z254" s="18">
        <f>SUMPRODUCT(M239:Z239,X249:AK249)</f>
        <v>9700</v>
      </c>
      <c r="AA254" s="18">
        <f>SUMPRODUCT(M239:AA239,W249:AK249)</f>
        <v>9750</v>
      </c>
      <c r="AB254" s="18">
        <f>SUMPRODUCT(M239:AB239,V249:AK249)</f>
        <v>10000</v>
      </c>
      <c r="AC254" s="18">
        <f>SUMPRODUCT(M239:AC239,U249:AK249)</f>
        <v>10200</v>
      </c>
      <c r="AD254" s="18">
        <f>SUMPRODUCT(M239:AD239,T249:AK249)</f>
        <v>10200</v>
      </c>
      <c r="AE254" s="18">
        <f>SUMPRODUCT(M239:AE239,S249:AK249)</f>
        <v>10200</v>
      </c>
      <c r="AF254" s="18">
        <f>SUMPRODUCT(M239:AF239,R249:AK249)</f>
        <v>10200</v>
      </c>
      <c r="AG254" s="18">
        <f>SUMPRODUCT(M239:AG239,Q249:AK249)</f>
        <v>10200</v>
      </c>
      <c r="AH254" s="18">
        <f>SUMPRODUCT(M239:AH239,P249:AK249)</f>
        <v>10200</v>
      </c>
      <c r="AI254" s="18">
        <f>SUMPRODUCT(M239:AI239,O249:AK249)</f>
        <v>10200</v>
      </c>
      <c r="AJ254" s="18">
        <f>SUMPRODUCT(M239:AJ239,N249:AK249)</f>
        <v>10200</v>
      </c>
      <c r="AK254" s="18">
        <f>SUMPRODUCT(M239:AK239,M249:AK249)</f>
        <v>10200</v>
      </c>
      <c r="AL254" s="1"/>
      <c r="AM254" s="1"/>
    </row>
    <row r="255" spans="1:39" x14ac:dyDescent="0.25">
      <c r="A255" s="1"/>
      <c r="B255" s="1"/>
      <c r="C255" s="1"/>
      <c r="D255" s="7"/>
      <c r="E255" s="1"/>
      <c r="F255" s="1"/>
      <c r="G255" s="1"/>
      <c r="H255" s="1"/>
      <c r="I255" s="1"/>
      <c r="J255" s="1"/>
      <c r="K255" s="1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s="8" customFormat="1" x14ac:dyDescent="0.25">
      <c r="A256" s="7"/>
      <c r="B256" s="7"/>
      <c r="C256" s="7"/>
      <c r="D256" s="7"/>
      <c r="E256" s="7"/>
      <c r="F256" s="7" t="str">
        <f>KPI!$F$62</f>
        <v>%-нт соцсборов с ФОТ охранников</v>
      </c>
      <c r="G256" s="7"/>
      <c r="H256" s="7" t="str">
        <f>INDEX(KPI!$H:$H,SUMIFS(KPI!$D:$D,KPI!$F:$F,$F256))</f>
        <v>%</v>
      </c>
      <c r="I256" s="7"/>
      <c r="J256" s="7"/>
      <c r="K256" s="7"/>
      <c r="L256" s="10" t="s">
        <v>10</v>
      </c>
      <c r="M256" s="24">
        <v>0.3</v>
      </c>
      <c r="N256" s="24">
        <v>0.3</v>
      </c>
      <c r="O256" s="24">
        <v>0.3</v>
      </c>
      <c r="P256" s="24">
        <v>0.3</v>
      </c>
      <c r="Q256" s="24">
        <v>0.3</v>
      </c>
      <c r="R256" s="24">
        <v>0.3</v>
      </c>
      <c r="S256" s="24">
        <v>0.3</v>
      </c>
      <c r="T256" s="24">
        <v>0.3</v>
      </c>
      <c r="U256" s="24">
        <v>0.3</v>
      </c>
      <c r="V256" s="24">
        <v>0.3</v>
      </c>
      <c r="W256" s="24">
        <v>0.3</v>
      </c>
      <c r="X256" s="24">
        <v>0.3</v>
      </c>
      <c r="Y256" s="24">
        <v>0.3</v>
      </c>
      <c r="Z256" s="24">
        <v>0.3</v>
      </c>
      <c r="AA256" s="24">
        <v>0.3</v>
      </c>
      <c r="AB256" s="24">
        <v>0.3</v>
      </c>
      <c r="AC256" s="24">
        <v>0.3</v>
      </c>
      <c r="AD256" s="24">
        <v>0.3</v>
      </c>
      <c r="AE256" s="24">
        <v>0.3</v>
      </c>
      <c r="AF256" s="24">
        <v>0.3</v>
      </c>
      <c r="AG256" s="24">
        <v>0.3</v>
      </c>
      <c r="AH256" s="24">
        <v>0.3</v>
      </c>
      <c r="AI256" s="24">
        <v>0.3</v>
      </c>
      <c r="AJ256" s="24">
        <v>0.3</v>
      </c>
      <c r="AK256" s="24">
        <v>0.3</v>
      </c>
      <c r="AL256" s="7"/>
      <c r="AM256" s="7"/>
    </row>
    <row r="257" spans="1:39" x14ac:dyDescent="0.25">
      <c r="A257" s="1"/>
      <c r="B257" s="1"/>
      <c r="C257" s="1"/>
      <c r="D257" s="7"/>
      <c r="E257" s="1"/>
      <c r="F257" s="1"/>
      <c r="G257" s="1"/>
      <c r="H257" s="1"/>
      <c r="I257" s="1"/>
      <c r="J257" s="1"/>
      <c r="K257" s="1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s="8" customFormat="1" x14ac:dyDescent="0.25">
      <c r="A258" s="7"/>
      <c r="B258" s="7"/>
      <c r="C258" s="7"/>
      <c r="D258" s="7"/>
      <c r="E258" s="7"/>
      <c r="F258" s="7" t="str">
        <f>KPI!$F$63</f>
        <v>соцсборы с ФОТ охранников</v>
      </c>
      <c r="G258" s="7"/>
      <c r="H258" s="7" t="str">
        <f>INDEX(KPI!$H:$H,SUMIFS(KPI!$D:$D,KPI!$F:$F,$F258))</f>
        <v>тыс.руб.</v>
      </c>
      <c r="I258" s="7"/>
      <c r="J258" s="7"/>
      <c r="K258" s="7"/>
      <c r="L258" s="10"/>
      <c r="M258" s="17">
        <f>M236*M256</f>
        <v>3162</v>
      </c>
      <c r="N258" s="17">
        <f t="shared" ref="N258:AK258" si="156">N236*N256</f>
        <v>3349.5</v>
      </c>
      <c r="O258" s="17">
        <f t="shared" si="156"/>
        <v>3507</v>
      </c>
      <c r="P258" s="17">
        <f t="shared" si="156"/>
        <v>3520.5</v>
      </c>
      <c r="Q258" s="17">
        <f t="shared" si="156"/>
        <v>3661.5</v>
      </c>
      <c r="R258" s="17">
        <f t="shared" si="156"/>
        <v>3945</v>
      </c>
      <c r="S258" s="17">
        <f t="shared" si="156"/>
        <v>4083</v>
      </c>
      <c r="T258" s="17">
        <f t="shared" si="156"/>
        <v>4224</v>
      </c>
      <c r="U258" s="17">
        <f t="shared" si="156"/>
        <v>4438.5</v>
      </c>
      <c r="V258" s="17">
        <f t="shared" si="156"/>
        <v>4707</v>
      </c>
      <c r="W258" s="17">
        <f t="shared" si="156"/>
        <v>4791</v>
      </c>
      <c r="X258" s="17">
        <f t="shared" si="156"/>
        <v>4791</v>
      </c>
      <c r="Y258" s="17">
        <f t="shared" si="156"/>
        <v>4908</v>
      </c>
      <c r="Z258" s="17">
        <f t="shared" si="156"/>
        <v>4908</v>
      </c>
      <c r="AA258" s="17">
        <f t="shared" si="156"/>
        <v>4978.5</v>
      </c>
      <c r="AB258" s="17">
        <f t="shared" si="156"/>
        <v>5179.5</v>
      </c>
      <c r="AC258" s="17">
        <f t="shared" si="156"/>
        <v>5179.5</v>
      </c>
      <c r="AD258" s="17">
        <f t="shared" si="156"/>
        <v>5179.5</v>
      </c>
      <c r="AE258" s="17">
        <f t="shared" si="156"/>
        <v>5179.5</v>
      </c>
      <c r="AF258" s="17">
        <f t="shared" si="156"/>
        <v>5179.5</v>
      </c>
      <c r="AG258" s="17">
        <f t="shared" si="156"/>
        <v>5179.5</v>
      </c>
      <c r="AH258" s="17">
        <f t="shared" si="156"/>
        <v>5179.5</v>
      </c>
      <c r="AI258" s="17">
        <f t="shared" si="156"/>
        <v>5179.5</v>
      </c>
      <c r="AJ258" s="17">
        <f t="shared" si="156"/>
        <v>5179.5</v>
      </c>
      <c r="AK258" s="17">
        <f t="shared" si="156"/>
        <v>5179.5</v>
      </c>
      <c r="AL258" s="7"/>
      <c r="AM258" s="7"/>
    </row>
    <row r="259" spans="1:39" x14ac:dyDescent="0.25">
      <c r="A259" s="1"/>
      <c r="B259" s="1"/>
      <c r="C259" s="1"/>
      <c r="D259" s="7"/>
      <c r="E259" s="1"/>
      <c r="F259" s="1"/>
      <c r="G259" s="1"/>
      <c r="H259" s="1"/>
      <c r="I259" s="1"/>
      <c r="J259" s="1"/>
      <c r="K259" s="1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s="8" customFormat="1" x14ac:dyDescent="0.25">
      <c r="A260" s="7"/>
      <c r="B260" s="7"/>
      <c r="C260" s="7"/>
      <c r="D260" s="7"/>
      <c r="E260" s="7"/>
      <c r="F260" s="7" t="str">
        <f>KPI!$F$64</f>
        <v>кол-во штатных уборщиков на одну парковку</v>
      </c>
      <c r="G260" s="7"/>
      <c r="H260" s="7" t="str">
        <f>INDEX(KPI!$H:$H,SUMIFS(KPI!$D:$D,KPI!$F:$F,$F260))</f>
        <v>кол-во</v>
      </c>
      <c r="I260" s="7"/>
      <c r="J260" s="7"/>
      <c r="K260" s="7"/>
      <c r="L260" s="10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7"/>
      <c r="AM260" s="7"/>
    </row>
    <row r="261" spans="1:39" s="4" customFormat="1" ht="10.199999999999999" x14ac:dyDescent="0.2">
      <c r="A261" s="3"/>
      <c r="B261" s="3"/>
      <c r="C261" s="3"/>
      <c r="D261" s="9"/>
      <c r="E261" s="3"/>
      <c r="F261" s="5" t="str">
        <f>структура!$H$9</f>
        <v>в т.ч.</v>
      </c>
      <c r="G261" s="3"/>
      <c r="H261" s="3"/>
      <c r="I261" s="3"/>
      <c r="J261" s="3"/>
      <c r="K261" s="3"/>
      <c r="L261" s="1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x14ac:dyDescent="0.25">
      <c r="A262" s="1"/>
      <c r="B262" s="1"/>
      <c r="C262" s="1"/>
      <c r="D262" s="7"/>
      <c r="E262" s="1"/>
      <c r="F262" s="6" t="str">
        <f>структура!$F$9</f>
        <v>народный гараж</v>
      </c>
      <c r="G262" s="1"/>
      <c r="H262" s="1" t="str">
        <f>H260</f>
        <v>кол-во</v>
      </c>
      <c r="I262" s="1"/>
      <c r="J262" s="1"/>
      <c r="K262" s="1"/>
      <c r="L262" s="10" t="s">
        <v>10</v>
      </c>
      <c r="M262" s="31">
        <v>1</v>
      </c>
      <c r="N262" s="31">
        <v>1</v>
      </c>
      <c r="O262" s="31">
        <v>1</v>
      </c>
      <c r="P262" s="31">
        <v>1</v>
      </c>
      <c r="Q262" s="31">
        <v>1</v>
      </c>
      <c r="R262" s="31">
        <v>1</v>
      </c>
      <c r="S262" s="31">
        <v>1</v>
      </c>
      <c r="T262" s="31">
        <v>1</v>
      </c>
      <c r="U262" s="31">
        <v>1</v>
      </c>
      <c r="V262" s="31">
        <v>1</v>
      </c>
      <c r="W262" s="31">
        <v>1</v>
      </c>
      <c r="X262" s="31">
        <v>1</v>
      </c>
      <c r="Y262" s="31">
        <v>1</v>
      </c>
      <c r="Z262" s="31">
        <v>1</v>
      </c>
      <c r="AA262" s="31">
        <v>1</v>
      </c>
      <c r="AB262" s="31">
        <v>1</v>
      </c>
      <c r="AC262" s="31">
        <v>1</v>
      </c>
      <c r="AD262" s="31">
        <v>1</v>
      </c>
      <c r="AE262" s="31">
        <v>1</v>
      </c>
      <c r="AF262" s="31">
        <v>1</v>
      </c>
      <c r="AG262" s="31">
        <v>1</v>
      </c>
      <c r="AH262" s="31">
        <v>1</v>
      </c>
      <c r="AI262" s="31">
        <v>1</v>
      </c>
      <c r="AJ262" s="31">
        <v>1</v>
      </c>
      <c r="AK262" s="31">
        <v>1</v>
      </c>
      <c r="AL262" s="1"/>
      <c r="AM262" s="1"/>
    </row>
    <row r="263" spans="1:39" x14ac:dyDescent="0.25">
      <c r="A263" s="1"/>
      <c r="B263" s="1"/>
      <c r="C263" s="1"/>
      <c r="D263" s="7"/>
      <c r="E263" s="1"/>
      <c r="F263" s="6" t="str">
        <f>структура!$F$10</f>
        <v>хозяйственное ведение</v>
      </c>
      <c r="G263" s="1"/>
      <c r="H263" s="1" t="str">
        <f>H260</f>
        <v>кол-во</v>
      </c>
      <c r="I263" s="1"/>
      <c r="J263" s="1"/>
      <c r="K263" s="1"/>
      <c r="L263" s="10" t="s">
        <v>10</v>
      </c>
      <c r="M263" s="31">
        <v>1.2</v>
      </c>
      <c r="N263" s="31">
        <v>1.2</v>
      </c>
      <c r="O263" s="31">
        <v>1.2</v>
      </c>
      <c r="P263" s="31">
        <v>1.2</v>
      </c>
      <c r="Q263" s="31">
        <v>1.2</v>
      </c>
      <c r="R263" s="31">
        <v>1.2</v>
      </c>
      <c r="S263" s="31">
        <v>1.2</v>
      </c>
      <c r="T263" s="31">
        <v>1.2</v>
      </c>
      <c r="U263" s="31">
        <v>1.2</v>
      </c>
      <c r="V263" s="31">
        <v>1.2</v>
      </c>
      <c r="W263" s="31">
        <v>1.2</v>
      </c>
      <c r="X263" s="31">
        <v>1.2</v>
      </c>
      <c r="Y263" s="31">
        <v>1.2</v>
      </c>
      <c r="Z263" s="31">
        <v>1.2</v>
      </c>
      <c r="AA263" s="31">
        <v>1.2</v>
      </c>
      <c r="AB263" s="31">
        <v>1.2</v>
      </c>
      <c r="AC263" s="31">
        <v>1.2</v>
      </c>
      <c r="AD263" s="31">
        <v>1.2</v>
      </c>
      <c r="AE263" s="31">
        <v>1.2</v>
      </c>
      <c r="AF263" s="31">
        <v>1.2</v>
      </c>
      <c r="AG263" s="31">
        <v>1.2</v>
      </c>
      <c r="AH263" s="31">
        <v>1.2</v>
      </c>
      <c r="AI263" s="31">
        <v>1.2</v>
      </c>
      <c r="AJ263" s="31">
        <v>1.2</v>
      </c>
      <c r="AK263" s="31">
        <v>1.2</v>
      </c>
      <c r="AL263" s="1"/>
      <c r="AM263" s="1"/>
    </row>
    <row r="264" spans="1:39" x14ac:dyDescent="0.25">
      <c r="A264" s="1"/>
      <c r="B264" s="1"/>
      <c r="C264" s="1"/>
      <c r="D264" s="7"/>
      <c r="E264" s="1"/>
      <c r="F264" s="1"/>
      <c r="G264" s="1"/>
      <c r="H264" s="1"/>
      <c r="I264" s="1"/>
      <c r="J264" s="1"/>
      <c r="K264" s="1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s="8" customFormat="1" x14ac:dyDescent="0.25">
      <c r="A265" s="7"/>
      <c r="B265" s="7"/>
      <c r="C265" s="7"/>
      <c r="D265" s="7"/>
      <c r="E265" s="7"/>
      <c r="F265" s="7" t="str">
        <f>KPI!$F$65</f>
        <v>оклад 1ого уборщика</v>
      </c>
      <c r="G265" s="7"/>
      <c r="H265" s="7" t="str">
        <f>INDEX(KPI!$H:$H,SUMIFS(KPI!$D:$D,KPI!$F:$F,$F265))</f>
        <v>тыс.руб.</v>
      </c>
      <c r="I265" s="7"/>
      <c r="J265" s="7"/>
      <c r="K265" s="7"/>
      <c r="L265" s="10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7"/>
      <c r="AM265" s="7"/>
    </row>
    <row r="266" spans="1:39" s="4" customFormat="1" ht="10.199999999999999" x14ac:dyDescent="0.2">
      <c r="A266" s="3"/>
      <c r="B266" s="3"/>
      <c r="C266" s="3"/>
      <c r="D266" s="9"/>
      <c r="E266" s="3"/>
      <c r="F266" s="5" t="str">
        <f>структура!$H$9</f>
        <v>в т.ч.</v>
      </c>
      <c r="G266" s="3"/>
      <c r="H266" s="3"/>
      <c r="I266" s="3"/>
      <c r="J266" s="3"/>
      <c r="K266" s="3"/>
      <c r="L266" s="1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x14ac:dyDescent="0.25">
      <c r="A267" s="1"/>
      <c r="B267" s="1"/>
      <c r="C267" s="1"/>
      <c r="D267" s="7"/>
      <c r="E267" s="1"/>
      <c r="F267" s="6" t="str">
        <f>структура!$F$9</f>
        <v>народный гараж</v>
      </c>
      <c r="G267" s="1"/>
      <c r="H267" s="1" t="str">
        <f>H265</f>
        <v>тыс.руб.</v>
      </c>
      <c r="I267" s="1"/>
      <c r="J267" s="1"/>
      <c r="K267" s="1"/>
      <c r="L267" s="10" t="s">
        <v>10</v>
      </c>
      <c r="M267" s="30">
        <v>25</v>
      </c>
      <c r="N267" s="30">
        <v>25</v>
      </c>
      <c r="O267" s="30">
        <v>25</v>
      </c>
      <c r="P267" s="30">
        <v>25</v>
      </c>
      <c r="Q267" s="30">
        <v>25</v>
      </c>
      <c r="R267" s="30">
        <v>25</v>
      </c>
      <c r="S267" s="30">
        <v>25</v>
      </c>
      <c r="T267" s="30">
        <v>25</v>
      </c>
      <c r="U267" s="30">
        <v>25</v>
      </c>
      <c r="V267" s="30">
        <v>25</v>
      </c>
      <c r="W267" s="30">
        <v>25</v>
      </c>
      <c r="X267" s="30">
        <v>25</v>
      </c>
      <c r="Y267" s="30">
        <v>25</v>
      </c>
      <c r="Z267" s="30">
        <v>25</v>
      </c>
      <c r="AA267" s="30">
        <v>25</v>
      </c>
      <c r="AB267" s="30">
        <v>25</v>
      </c>
      <c r="AC267" s="30">
        <v>25</v>
      </c>
      <c r="AD267" s="30">
        <v>25</v>
      </c>
      <c r="AE267" s="30">
        <v>25</v>
      </c>
      <c r="AF267" s="30">
        <v>25</v>
      </c>
      <c r="AG267" s="30">
        <v>25</v>
      </c>
      <c r="AH267" s="30">
        <v>25</v>
      </c>
      <c r="AI267" s="30">
        <v>25</v>
      </c>
      <c r="AJ267" s="30">
        <v>25</v>
      </c>
      <c r="AK267" s="30">
        <v>25</v>
      </c>
      <c r="AL267" s="1"/>
      <c r="AM267" s="1"/>
    </row>
    <row r="268" spans="1:39" x14ac:dyDescent="0.25">
      <c r="A268" s="1"/>
      <c r="B268" s="1"/>
      <c r="C268" s="1"/>
      <c r="D268" s="7"/>
      <c r="E268" s="1"/>
      <c r="F268" s="6" t="str">
        <f>структура!$F$10</f>
        <v>хозяйственное ведение</v>
      </c>
      <c r="G268" s="1"/>
      <c r="H268" s="1" t="str">
        <f>H265</f>
        <v>тыс.руб.</v>
      </c>
      <c r="I268" s="1"/>
      <c r="J268" s="1"/>
      <c r="K268" s="1"/>
      <c r="L268" s="10" t="s">
        <v>10</v>
      </c>
      <c r="M268" s="30">
        <v>30</v>
      </c>
      <c r="N268" s="30">
        <v>30</v>
      </c>
      <c r="O268" s="30">
        <v>30</v>
      </c>
      <c r="P268" s="30">
        <v>30</v>
      </c>
      <c r="Q268" s="30">
        <v>30</v>
      </c>
      <c r="R268" s="30">
        <v>30</v>
      </c>
      <c r="S268" s="30">
        <v>30</v>
      </c>
      <c r="T268" s="30">
        <v>30</v>
      </c>
      <c r="U268" s="30">
        <v>30</v>
      </c>
      <c r="V268" s="30">
        <v>30</v>
      </c>
      <c r="W268" s="30">
        <v>30</v>
      </c>
      <c r="X268" s="30">
        <v>30</v>
      </c>
      <c r="Y268" s="30">
        <v>30</v>
      </c>
      <c r="Z268" s="30">
        <v>30</v>
      </c>
      <c r="AA268" s="30">
        <v>30</v>
      </c>
      <c r="AB268" s="30">
        <v>30</v>
      </c>
      <c r="AC268" s="30">
        <v>30</v>
      </c>
      <c r="AD268" s="30">
        <v>30</v>
      </c>
      <c r="AE268" s="30">
        <v>30</v>
      </c>
      <c r="AF268" s="30">
        <v>30</v>
      </c>
      <c r="AG268" s="30">
        <v>30</v>
      </c>
      <c r="AH268" s="30">
        <v>30</v>
      </c>
      <c r="AI268" s="30">
        <v>30</v>
      </c>
      <c r="AJ268" s="30">
        <v>30</v>
      </c>
      <c r="AK268" s="30">
        <v>30</v>
      </c>
      <c r="AL268" s="1"/>
      <c r="AM268" s="1"/>
    </row>
    <row r="269" spans="1:39" x14ac:dyDescent="0.25">
      <c r="A269" s="1"/>
      <c r="B269" s="1"/>
      <c r="C269" s="1"/>
      <c r="D269" s="7"/>
      <c r="E269" s="1"/>
      <c r="F269" s="1"/>
      <c r="G269" s="1"/>
      <c r="H269" s="1"/>
      <c r="I269" s="1"/>
      <c r="J269" s="1"/>
      <c r="K269" s="1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s="8" customFormat="1" x14ac:dyDescent="0.25">
      <c r="A270" s="7"/>
      <c r="B270" s="7"/>
      <c r="C270" s="7"/>
      <c r="D270" s="27"/>
      <c r="E270" s="7"/>
      <c r="F270" s="27" t="str">
        <f>KPI!$F$66</f>
        <v>ФОТ уборщиков</v>
      </c>
      <c r="G270" s="7"/>
      <c r="H270" s="27" t="str">
        <f>INDEX(KPI!$H:$H,SUMIFS(KPI!$D:$D,KPI!$F:$F,$F270))</f>
        <v>тыс.руб.</v>
      </c>
      <c r="I270" s="7"/>
      <c r="J270" s="7"/>
      <c r="K270" s="7"/>
      <c r="L270" s="10"/>
      <c r="M270" s="28">
        <f>SUM(M271:M273)</f>
        <v>4604</v>
      </c>
      <c r="N270" s="28">
        <f t="shared" ref="N270:AK270" si="157">SUM(N271:N273)</f>
        <v>4873</v>
      </c>
      <c r="O270" s="28">
        <f t="shared" si="157"/>
        <v>5106</v>
      </c>
      <c r="P270" s="28">
        <f t="shared" si="157"/>
        <v>5131</v>
      </c>
      <c r="Q270" s="28">
        <f t="shared" si="157"/>
        <v>5353</v>
      </c>
      <c r="R270" s="28">
        <f t="shared" si="157"/>
        <v>5702</v>
      </c>
      <c r="S270" s="28">
        <f t="shared" si="157"/>
        <v>5938</v>
      </c>
      <c r="T270" s="28">
        <f t="shared" si="157"/>
        <v>6160</v>
      </c>
      <c r="U270" s="28">
        <f t="shared" si="157"/>
        <v>6479</v>
      </c>
      <c r="V270" s="28">
        <f t="shared" si="157"/>
        <v>6898</v>
      </c>
      <c r="W270" s="28">
        <f t="shared" si="157"/>
        <v>7034</v>
      </c>
      <c r="X270" s="28">
        <f t="shared" si="157"/>
        <v>7034</v>
      </c>
      <c r="Y270" s="28">
        <f t="shared" si="157"/>
        <v>7192</v>
      </c>
      <c r="Z270" s="28">
        <f t="shared" si="157"/>
        <v>7192</v>
      </c>
      <c r="AA270" s="28">
        <f t="shared" si="157"/>
        <v>7303</v>
      </c>
      <c r="AB270" s="28">
        <f t="shared" si="157"/>
        <v>7597</v>
      </c>
      <c r="AC270" s="28">
        <f t="shared" si="157"/>
        <v>7597</v>
      </c>
      <c r="AD270" s="28">
        <f t="shared" si="157"/>
        <v>7597</v>
      </c>
      <c r="AE270" s="28">
        <f t="shared" si="157"/>
        <v>7597</v>
      </c>
      <c r="AF270" s="28">
        <f t="shared" si="157"/>
        <v>7597</v>
      </c>
      <c r="AG270" s="28">
        <f t="shared" si="157"/>
        <v>7597</v>
      </c>
      <c r="AH270" s="28">
        <f t="shared" si="157"/>
        <v>7597</v>
      </c>
      <c r="AI270" s="28">
        <f t="shared" si="157"/>
        <v>7597</v>
      </c>
      <c r="AJ270" s="28">
        <f t="shared" si="157"/>
        <v>7597</v>
      </c>
      <c r="AK270" s="28">
        <f t="shared" si="157"/>
        <v>7597</v>
      </c>
      <c r="AL270" s="7"/>
      <c r="AM270" s="7"/>
    </row>
    <row r="271" spans="1:39" s="4" customFormat="1" ht="10.199999999999999" x14ac:dyDescent="0.2">
      <c r="A271" s="3"/>
      <c r="B271" s="3"/>
      <c r="C271" s="3"/>
      <c r="D271" s="9"/>
      <c r="E271" s="3"/>
      <c r="F271" s="5" t="str">
        <f>структура!$H$9</f>
        <v>в т.ч.</v>
      </c>
      <c r="G271" s="3"/>
      <c r="H271" s="3"/>
      <c r="I271" s="3"/>
      <c r="J271" s="3"/>
      <c r="K271" s="3"/>
      <c r="L271" s="1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x14ac:dyDescent="0.25">
      <c r="A272" s="1"/>
      <c r="B272" s="1"/>
      <c r="C272" s="1"/>
      <c r="D272" s="7"/>
      <c r="E272" s="1"/>
      <c r="F272" s="6" t="str">
        <f>структура!$F$9</f>
        <v>народный гараж</v>
      </c>
      <c r="G272" s="1"/>
      <c r="H272" s="1" t="str">
        <f>H270</f>
        <v>тыс.руб.</v>
      </c>
      <c r="I272" s="1"/>
      <c r="J272" s="1"/>
      <c r="K272" s="1"/>
      <c r="L272" s="10"/>
      <c r="M272" s="18">
        <f>M12*M262*M267</f>
        <v>2300</v>
      </c>
      <c r="N272" s="18">
        <f t="shared" ref="N272:AK272" si="158">N12*N262*N267</f>
        <v>2425</v>
      </c>
      <c r="O272" s="18">
        <f t="shared" si="158"/>
        <v>2550</v>
      </c>
      <c r="P272" s="18">
        <f t="shared" si="158"/>
        <v>2575</v>
      </c>
      <c r="Q272" s="18">
        <f t="shared" si="158"/>
        <v>2725</v>
      </c>
      <c r="R272" s="18">
        <f t="shared" si="158"/>
        <v>2750</v>
      </c>
      <c r="S272" s="18">
        <f t="shared" si="158"/>
        <v>2950</v>
      </c>
      <c r="T272" s="18">
        <f t="shared" si="158"/>
        <v>3100</v>
      </c>
      <c r="U272" s="18">
        <f t="shared" si="158"/>
        <v>3275</v>
      </c>
      <c r="V272" s="18">
        <f t="shared" si="158"/>
        <v>3550</v>
      </c>
      <c r="W272" s="18">
        <f t="shared" si="158"/>
        <v>3650</v>
      </c>
      <c r="X272" s="18">
        <f t="shared" si="158"/>
        <v>3650</v>
      </c>
      <c r="Y272" s="18">
        <f t="shared" si="158"/>
        <v>3700</v>
      </c>
      <c r="Z272" s="18">
        <f t="shared" si="158"/>
        <v>3700</v>
      </c>
      <c r="AA272" s="18">
        <f t="shared" si="158"/>
        <v>3775</v>
      </c>
      <c r="AB272" s="18">
        <f t="shared" si="158"/>
        <v>3925</v>
      </c>
      <c r="AC272" s="18">
        <f t="shared" si="158"/>
        <v>3925</v>
      </c>
      <c r="AD272" s="18">
        <f t="shared" si="158"/>
        <v>3925</v>
      </c>
      <c r="AE272" s="18">
        <f t="shared" si="158"/>
        <v>3925</v>
      </c>
      <c r="AF272" s="18">
        <f t="shared" si="158"/>
        <v>3925</v>
      </c>
      <c r="AG272" s="18">
        <f t="shared" si="158"/>
        <v>3925</v>
      </c>
      <c r="AH272" s="18">
        <f t="shared" si="158"/>
        <v>3925</v>
      </c>
      <c r="AI272" s="18">
        <f t="shared" si="158"/>
        <v>3925</v>
      </c>
      <c r="AJ272" s="18">
        <f t="shared" si="158"/>
        <v>3925</v>
      </c>
      <c r="AK272" s="18">
        <f t="shared" si="158"/>
        <v>3925</v>
      </c>
      <c r="AL272" s="1"/>
      <c r="AM272" s="1"/>
    </row>
    <row r="273" spans="1:39" x14ac:dyDescent="0.25">
      <c r="A273" s="1"/>
      <c r="B273" s="1"/>
      <c r="C273" s="1"/>
      <c r="D273" s="7"/>
      <c r="E273" s="1"/>
      <c r="F273" s="6" t="str">
        <f>структура!$F$10</f>
        <v>хозяйственное ведение</v>
      </c>
      <c r="G273" s="1"/>
      <c r="H273" s="1" t="str">
        <f>H270</f>
        <v>тыс.руб.</v>
      </c>
      <c r="I273" s="1"/>
      <c r="J273" s="1"/>
      <c r="K273" s="1"/>
      <c r="L273" s="10"/>
      <c r="M273" s="18">
        <f>M13*M263*M268</f>
        <v>2304</v>
      </c>
      <c r="N273" s="18">
        <f t="shared" ref="N273:AK273" si="159">N13*N263*N268</f>
        <v>2448</v>
      </c>
      <c r="O273" s="18">
        <f t="shared" si="159"/>
        <v>2556</v>
      </c>
      <c r="P273" s="18">
        <f t="shared" si="159"/>
        <v>2556</v>
      </c>
      <c r="Q273" s="18">
        <f t="shared" si="159"/>
        <v>2628</v>
      </c>
      <c r="R273" s="18">
        <f t="shared" si="159"/>
        <v>2951.9999999999995</v>
      </c>
      <c r="S273" s="18">
        <f t="shared" si="159"/>
        <v>2988</v>
      </c>
      <c r="T273" s="18">
        <f t="shared" si="159"/>
        <v>3060</v>
      </c>
      <c r="U273" s="18">
        <f t="shared" si="159"/>
        <v>3204</v>
      </c>
      <c r="V273" s="18">
        <f t="shared" si="159"/>
        <v>3348</v>
      </c>
      <c r="W273" s="18">
        <f t="shared" si="159"/>
        <v>3384</v>
      </c>
      <c r="X273" s="18">
        <f t="shared" si="159"/>
        <v>3384</v>
      </c>
      <c r="Y273" s="18">
        <f t="shared" si="159"/>
        <v>3491.9999999999995</v>
      </c>
      <c r="Z273" s="18">
        <f t="shared" si="159"/>
        <v>3491.9999999999995</v>
      </c>
      <c r="AA273" s="18">
        <f t="shared" si="159"/>
        <v>3528</v>
      </c>
      <c r="AB273" s="18">
        <f t="shared" si="159"/>
        <v>3671.9999999999995</v>
      </c>
      <c r="AC273" s="18">
        <f t="shared" si="159"/>
        <v>3671.9999999999995</v>
      </c>
      <c r="AD273" s="18">
        <f t="shared" si="159"/>
        <v>3671.9999999999995</v>
      </c>
      <c r="AE273" s="18">
        <f t="shared" si="159"/>
        <v>3671.9999999999995</v>
      </c>
      <c r="AF273" s="18">
        <f t="shared" si="159"/>
        <v>3671.9999999999995</v>
      </c>
      <c r="AG273" s="18">
        <f t="shared" si="159"/>
        <v>3671.9999999999995</v>
      </c>
      <c r="AH273" s="18">
        <f t="shared" si="159"/>
        <v>3671.9999999999995</v>
      </c>
      <c r="AI273" s="18">
        <f t="shared" si="159"/>
        <v>3671.9999999999995</v>
      </c>
      <c r="AJ273" s="18">
        <f t="shared" si="159"/>
        <v>3671.9999999999995</v>
      </c>
      <c r="AK273" s="18">
        <f t="shared" si="159"/>
        <v>3671.9999999999995</v>
      </c>
      <c r="AL273" s="1"/>
      <c r="AM273" s="1"/>
    </row>
    <row r="274" spans="1:39" x14ac:dyDescent="0.25">
      <c r="A274" s="1"/>
      <c r="B274" s="1"/>
      <c r="C274" s="1"/>
      <c r="D274" s="7"/>
      <c r="E274" s="1"/>
      <c r="F274" s="1"/>
      <c r="G274" s="1"/>
      <c r="H274" s="1"/>
      <c r="I274" s="1"/>
      <c r="J274" s="1"/>
      <c r="K274" s="1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s="8" customFormat="1" x14ac:dyDescent="0.25">
      <c r="A275" s="7"/>
      <c r="B275" s="7"/>
      <c r="C275" s="7"/>
      <c r="D275" s="7" t="str">
        <f>структура!$D$15</f>
        <v>Списания ДС</v>
      </c>
      <c r="E275" s="7"/>
      <c r="F275" s="7" t="str">
        <f>KPI!$F$67</f>
        <v>распределение выплат ФОТ уборщиков</v>
      </c>
      <c r="G275" s="7"/>
      <c r="H275" s="7" t="str">
        <f>INDEX(KPI!$H:$H,SUMIFS(KPI!$D:$D,KPI!$F:$F,$F275))</f>
        <v>%</v>
      </c>
      <c r="I275" s="7"/>
      <c r="J275" s="7"/>
      <c r="K275" s="7"/>
      <c r="L275" s="10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7"/>
      <c r="AM275" s="7"/>
    </row>
    <row r="276" spans="1:39" s="4" customFormat="1" ht="10.199999999999999" x14ac:dyDescent="0.2">
      <c r="A276" s="3"/>
      <c r="B276" s="3"/>
      <c r="C276" s="3"/>
      <c r="D276" s="9"/>
      <c r="E276" s="3"/>
      <c r="F276" s="5" t="str">
        <f>структура!$H$9</f>
        <v>в т.ч.</v>
      </c>
      <c r="G276" s="3"/>
      <c r="H276" s="3"/>
      <c r="I276" s="3"/>
      <c r="J276" s="3"/>
      <c r="K276" s="3"/>
      <c r="L276" s="1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x14ac:dyDescent="0.25">
      <c r="A277" s="1"/>
      <c r="B277" s="1"/>
      <c r="C277" s="1"/>
      <c r="D277" s="7"/>
      <c r="E277" s="1"/>
      <c r="F277" s="6" t="str">
        <f>структура!$F$9</f>
        <v>народный гараж</v>
      </c>
      <c r="G277" s="1"/>
      <c r="H277" s="1" t="str">
        <f>H275</f>
        <v>%</v>
      </c>
      <c r="I277" s="1"/>
      <c r="J277" s="1"/>
      <c r="K277" s="1"/>
      <c r="L277" s="10" t="s">
        <v>10</v>
      </c>
      <c r="M277" s="24">
        <v>0.5</v>
      </c>
      <c r="N277" s="24">
        <v>0.5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5">
        <v>0</v>
      </c>
      <c r="AK277" s="26">
        <f>100%-SUM(M277:AJ277)</f>
        <v>0</v>
      </c>
      <c r="AL277" s="1"/>
      <c r="AM277" s="1"/>
    </row>
    <row r="278" spans="1:39" x14ac:dyDescent="0.25">
      <c r="A278" s="1"/>
      <c r="B278" s="1"/>
      <c r="C278" s="1"/>
      <c r="D278" s="7"/>
      <c r="E278" s="1"/>
      <c r="F278" s="6" t="str">
        <f>структура!$F$10</f>
        <v>хозяйственное ведение</v>
      </c>
      <c r="G278" s="1"/>
      <c r="H278" s="1" t="str">
        <f>H275</f>
        <v>%</v>
      </c>
      <c r="I278" s="1"/>
      <c r="J278" s="1"/>
      <c r="K278" s="1"/>
      <c r="L278" s="10" t="s">
        <v>10</v>
      </c>
      <c r="M278" s="24">
        <v>0.5</v>
      </c>
      <c r="N278" s="24">
        <v>0.5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5">
        <v>0</v>
      </c>
      <c r="AK278" s="26">
        <f>100%-SUM(M278:AJ278)</f>
        <v>0</v>
      </c>
      <c r="AL278" s="1"/>
      <c r="AM278" s="1"/>
    </row>
    <row r="279" spans="1:39" x14ac:dyDescent="0.25">
      <c r="A279" s="1"/>
      <c r="B279" s="1"/>
      <c r="C279" s="1"/>
      <c r="D279" s="7"/>
      <c r="E279" s="1"/>
      <c r="F279" s="1"/>
      <c r="G279" s="1"/>
      <c r="H279" s="1"/>
      <c r="I279" s="1"/>
      <c r="J279" s="1"/>
      <c r="K279" s="1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s="8" customFormat="1" x14ac:dyDescent="0.25">
      <c r="A280" s="7"/>
      <c r="B280" s="7"/>
      <c r="C280" s="7"/>
      <c r="D280" s="7"/>
      <c r="E280" s="7"/>
      <c r="F280" s="7" t="str">
        <f>KPI!$F$68</f>
        <v>обратное распр-ние выплат ФОТ уборщиков</v>
      </c>
      <c r="G280" s="7"/>
      <c r="H280" s="7" t="str">
        <f>INDEX(KPI!$H:$H,SUMIFS(KPI!$D:$D,KPI!$F:$F,$F280))</f>
        <v>%</v>
      </c>
      <c r="I280" s="7"/>
      <c r="J280" s="7"/>
      <c r="K280" s="7"/>
      <c r="L280" s="10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7"/>
      <c r="AM280" s="7"/>
    </row>
    <row r="281" spans="1:39" s="4" customFormat="1" ht="10.199999999999999" x14ac:dyDescent="0.2">
      <c r="A281" s="3"/>
      <c r="B281" s="3"/>
      <c r="C281" s="3"/>
      <c r="D281" s="9"/>
      <c r="E281" s="3"/>
      <c r="F281" s="5" t="str">
        <f>структура!$H$9</f>
        <v>в т.ч.</v>
      </c>
      <c r="G281" s="3"/>
      <c r="H281" s="3"/>
      <c r="I281" s="3"/>
      <c r="J281" s="3"/>
      <c r="K281" s="3"/>
      <c r="L281" s="1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x14ac:dyDescent="0.25">
      <c r="A282" s="1"/>
      <c r="B282" s="1"/>
      <c r="C282" s="1"/>
      <c r="D282" s="7"/>
      <c r="E282" s="1"/>
      <c r="F282" s="6" t="str">
        <f>структура!$F$9</f>
        <v>народный гараж</v>
      </c>
      <c r="G282" s="1"/>
      <c r="H282" s="1" t="str">
        <f>H280</f>
        <v>%</v>
      </c>
      <c r="I282" s="1"/>
      <c r="J282" s="1"/>
      <c r="K282" s="1"/>
      <c r="L282" s="10"/>
      <c r="M282" s="23">
        <f t="shared" ref="M282:AK282" si="160">SUMIFS(277:277,$1:$1,M$2)</f>
        <v>0</v>
      </c>
      <c r="N282" s="23">
        <f t="shared" si="160"/>
        <v>0</v>
      </c>
      <c r="O282" s="23">
        <f t="shared" si="160"/>
        <v>0</v>
      </c>
      <c r="P282" s="23">
        <f t="shared" si="160"/>
        <v>0</v>
      </c>
      <c r="Q282" s="23">
        <f t="shared" si="160"/>
        <v>0</v>
      </c>
      <c r="R282" s="23">
        <f t="shared" si="160"/>
        <v>0</v>
      </c>
      <c r="S282" s="23">
        <f t="shared" si="160"/>
        <v>0</v>
      </c>
      <c r="T282" s="23">
        <f t="shared" si="160"/>
        <v>0</v>
      </c>
      <c r="U282" s="23">
        <f t="shared" si="160"/>
        <v>0</v>
      </c>
      <c r="V282" s="23">
        <f t="shared" si="160"/>
        <v>0</v>
      </c>
      <c r="W282" s="23">
        <f t="shared" si="160"/>
        <v>0</v>
      </c>
      <c r="X282" s="23">
        <f t="shared" si="160"/>
        <v>0</v>
      </c>
      <c r="Y282" s="23">
        <f t="shared" si="160"/>
        <v>0</v>
      </c>
      <c r="Z282" s="23">
        <f t="shared" si="160"/>
        <v>0</v>
      </c>
      <c r="AA282" s="23">
        <f t="shared" si="160"/>
        <v>0</v>
      </c>
      <c r="AB282" s="23">
        <f t="shared" si="160"/>
        <v>0</v>
      </c>
      <c r="AC282" s="23">
        <f t="shared" si="160"/>
        <v>0</v>
      </c>
      <c r="AD282" s="23">
        <f t="shared" si="160"/>
        <v>0</v>
      </c>
      <c r="AE282" s="23">
        <f t="shared" si="160"/>
        <v>0</v>
      </c>
      <c r="AF282" s="23">
        <f t="shared" si="160"/>
        <v>0</v>
      </c>
      <c r="AG282" s="23">
        <f t="shared" si="160"/>
        <v>0</v>
      </c>
      <c r="AH282" s="23">
        <f t="shared" si="160"/>
        <v>0</v>
      </c>
      <c r="AI282" s="23">
        <f t="shared" si="160"/>
        <v>0</v>
      </c>
      <c r="AJ282" s="23">
        <f t="shared" si="160"/>
        <v>0.5</v>
      </c>
      <c r="AK282" s="23">
        <f t="shared" si="160"/>
        <v>0.5</v>
      </c>
      <c r="AL282" s="1"/>
      <c r="AM282" s="1"/>
    </row>
    <row r="283" spans="1:39" x14ac:dyDescent="0.25">
      <c r="A283" s="1"/>
      <c r="B283" s="1"/>
      <c r="C283" s="1"/>
      <c r="D283" s="7"/>
      <c r="E283" s="1"/>
      <c r="F283" s="6" t="str">
        <f>структура!$F$10</f>
        <v>хозяйственное ведение</v>
      </c>
      <c r="G283" s="1"/>
      <c r="H283" s="1" t="str">
        <f>H280</f>
        <v>%</v>
      </c>
      <c r="I283" s="1"/>
      <c r="J283" s="1"/>
      <c r="K283" s="1"/>
      <c r="L283" s="10"/>
      <c r="M283" s="23">
        <f t="shared" ref="M283:AK283" si="161">SUMIFS(278:278,$1:$1,M$2)</f>
        <v>0</v>
      </c>
      <c r="N283" s="23">
        <f t="shared" si="161"/>
        <v>0</v>
      </c>
      <c r="O283" s="23">
        <f t="shared" si="161"/>
        <v>0</v>
      </c>
      <c r="P283" s="23">
        <f t="shared" si="161"/>
        <v>0</v>
      </c>
      <c r="Q283" s="23">
        <f t="shared" si="161"/>
        <v>0</v>
      </c>
      <c r="R283" s="23">
        <f t="shared" si="161"/>
        <v>0</v>
      </c>
      <c r="S283" s="23">
        <f t="shared" si="161"/>
        <v>0</v>
      </c>
      <c r="T283" s="23">
        <f t="shared" si="161"/>
        <v>0</v>
      </c>
      <c r="U283" s="23">
        <f t="shared" si="161"/>
        <v>0</v>
      </c>
      <c r="V283" s="23">
        <f t="shared" si="161"/>
        <v>0</v>
      </c>
      <c r="W283" s="23">
        <f t="shared" si="161"/>
        <v>0</v>
      </c>
      <c r="X283" s="23">
        <f t="shared" si="161"/>
        <v>0</v>
      </c>
      <c r="Y283" s="23">
        <f t="shared" si="161"/>
        <v>0</v>
      </c>
      <c r="Z283" s="23">
        <f t="shared" si="161"/>
        <v>0</v>
      </c>
      <c r="AA283" s="23">
        <f t="shared" si="161"/>
        <v>0</v>
      </c>
      <c r="AB283" s="23">
        <f t="shared" si="161"/>
        <v>0</v>
      </c>
      <c r="AC283" s="23">
        <f t="shared" si="161"/>
        <v>0</v>
      </c>
      <c r="AD283" s="23">
        <f t="shared" si="161"/>
        <v>0</v>
      </c>
      <c r="AE283" s="23">
        <f t="shared" si="161"/>
        <v>0</v>
      </c>
      <c r="AF283" s="23">
        <f t="shared" si="161"/>
        <v>0</v>
      </c>
      <c r="AG283" s="23">
        <f t="shared" si="161"/>
        <v>0</v>
      </c>
      <c r="AH283" s="23">
        <f t="shared" si="161"/>
        <v>0</v>
      </c>
      <c r="AI283" s="23">
        <f t="shared" si="161"/>
        <v>0</v>
      </c>
      <c r="AJ283" s="23">
        <f t="shared" si="161"/>
        <v>0.5</v>
      </c>
      <c r="AK283" s="23">
        <f t="shared" si="161"/>
        <v>0.5</v>
      </c>
      <c r="AL283" s="1"/>
      <c r="AM283" s="1"/>
    </row>
    <row r="284" spans="1:39" x14ac:dyDescent="0.25">
      <c r="A284" s="1"/>
      <c r="B284" s="1"/>
      <c r="C284" s="1"/>
      <c r="D284" s="7"/>
      <c r="E284" s="1"/>
      <c r="F284" s="1"/>
      <c r="G284" s="1"/>
      <c r="H284" s="1"/>
      <c r="I284" s="1"/>
      <c r="J284" s="1"/>
      <c r="K284" s="1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s="8" customFormat="1" x14ac:dyDescent="0.25">
      <c r="A285" s="7"/>
      <c r="B285" s="7"/>
      <c r="C285" s="7"/>
      <c r="D285" s="27" t="str">
        <f>структура!$D$16</f>
        <v>CFOut</v>
      </c>
      <c r="E285" s="7"/>
      <c r="F285" s="27" t="str">
        <f>KPI!$F$69</f>
        <v>оплата ФОТ уборщиков</v>
      </c>
      <c r="G285" s="7"/>
      <c r="H285" s="27" t="str">
        <f>INDEX(KPI!$H:$H,SUMIFS(KPI!$D:$D,KPI!$F:$F,$F285))</f>
        <v>тыс.руб.</v>
      </c>
      <c r="I285" s="7"/>
      <c r="J285" s="7"/>
      <c r="K285" s="7"/>
      <c r="L285" s="10"/>
      <c r="M285" s="28">
        <f>SUM(M286:M288)</f>
        <v>2302</v>
      </c>
      <c r="N285" s="28">
        <f t="shared" ref="N285:AK285" si="162">SUM(N286:N288)</f>
        <v>4738.5</v>
      </c>
      <c r="O285" s="28">
        <f t="shared" si="162"/>
        <v>4989.5</v>
      </c>
      <c r="P285" s="28">
        <f t="shared" si="162"/>
        <v>5118.5</v>
      </c>
      <c r="Q285" s="28">
        <f t="shared" si="162"/>
        <v>5242</v>
      </c>
      <c r="R285" s="28">
        <f t="shared" si="162"/>
        <v>5527.5</v>
      </c>
      <c r="S285" s="28">
        <f t="shared" si="162"/>
        <v>5820</v>
      </c>
      <c r="T285" s="28">
        <f t="shared" si="162"/>
        <v>6049</v>
      </c>
      <c r="U285" s="28">
        <f t="shared" si="162"/>
        <v>6319.5</v>
      </c>
      <c r="V285" s="28">
        <f t="shared" si="162"/>
        <v>6688.5</v>
      </c>
      <c r="W285" s="28">
        <f t="shared" si="162"/>
        <v>6966</v>
      </c>
      <c r="X285" s="28">
        <f t="shared" si="162"/>
        <v>7034</v>
      </c>
      <c r="Y285" s="28">
        <f t="shared" si="162"/>
        <v>7113</v>
      </c>
      <c r="Z285" s="28">
        <f t="shared" si="162"/>
        <v>7192</v>
      </c>
      <c r="AA285" s="28">
        <f t="shared" si="162"/>
        <v>7247.5</v>
      </c>
      <c r="AB285" s="28">
        <f t="shared" si="162"/>
        <v>7450</v>
      </c>
      <c r="AC285" s="28">
        <f t="shared" si="162"/>
        <v>7597</v>
      </c>
      <c r="AD285" s="28">
        <f t="shared" si="162"/>
        <v>7597</v>
      </c>
      <c r="AE285" s="28">
        <f t="shared" si="162"/>
        <v>7597</v>
      </c>
      <c r="AF285" s="28">
        <f t="shared" si="162"/>
        <v>7597</v>
      </c>
      <c r="AG285" s="28">
        <f t="shared" si="162"/>
        <v>7597</v>
      </c>
      <c r="AH285" s="28">
        <f t="shared" si="162"/>
        <v>7597</v>
      </c>
      <c r="AI285" s="28">
        <f t="shared" si="162"/>
        <v>7597</v>
      </c>
      <c r="AJ285" s="28">
        <f t="shared" si="162"/>
        <v>7597</v>
      </c>
      <c r="AK285" s="28">
        <f t="shared" si="162"/>
        <v>7597</v>
      </c>
      <c r="AL285" s="7"/>
      <c r="AM285" s="7"/>
    </row>
    <row r="286" spans="1:39" s="4" customFormat="1" ht="10.199999999999999" x14ac:dyDescent="0.2">
      <c r="A286" s="3"/>
      <c r="B286" s="3"/>
      <c r="C286" s="3"/>
      <c r="D286" s="9"/>
      <c r="E286" s="3"/>
      <c r="F286" s="5" t="str">
        <f>структура!$H$9</f>
        <v>в т.ч.</v>
      </c>
      <c r="G286" s="3"/>
      <c r="H286" s="3"/>
      <c r="I286" s="3"/>
      <c r="J286" s="3"/>
      <c r="K286" s="3"/>
      <c r="L286" s="1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x14ac:dyDescent="0.25">
      <c r="A287" s="1"/>
      <c r="B287" s="1"/>
      <c r="C287" s="1"/>
      <c r="D287" s="7"/>
      <c r="E287" s="1"/>
      <c r="F287" s="6" t="str">
        <f>структура!$F$9</f>
        <v>народный гараж</v>
      </c>
      <c r="G287" s="1"/>
      <c r="H287" s="1" t="str">
        <f>H285</f>
        <v>тыс.руб.</v>
      </c>
      <c r="I287" s="1"/>
      <c r="J287" s="1"/>
      <c r="K287" s="1"/>
      <c r="L287" s="10"/>
      <c r="M287" s="18">
        <f>SUMPRODUCT(M272:M272,AK282)</f>
        <v>1150</v>
      </c>
      <c r="N287" s="18">
        <f>SUMPRODUCT(M272:N272,AJ282:AK282)</f>
        <v>2362.5</v>
      </c>
      <c r="O287" s="18">
        <f>SUMPRODUCT(M272:O272,AI282:AK282)</f>
        <v>2487.5</v>
      </c>
      <c r="P287" s="18">
        <f>SUMPRODUCT(M272:P272,AH282:AK282)</f>
        <v>2562.5</v>
      </c>
      <c r="Q287" s="18">
        <f>SUMPRODUCT(M272:Q272,AG282:AK282)</f>
        <v>2650</v>
      </c>
      <c r="R287" s="18">
        <f>SUMPRODUCT(M272:R272,AF282:AK282)</f>
        <v>2737.5</v>
      </c>
      <c r="S287" s="18">
        <f>SUMPRODUCT(M272:S272,AE282:AK282)</f>
        <v>2850</v>
      </c>
      <c r="T287" s="18">
        <f>SUMPRODUCT(M272:T272,AD282:AK282)</f>
        <v>3025</v>
      </c>
      <c r="U287" s="18">
        <f>SUMPRODUCT(M272:U272,AC282:AK282)</f>
        <v>3187.5</v>
      </c>
      <c r="V287" s="18">
        <f>SUMPRODUCT(M272:V272,AB282:AK282)</f>
        <v>3412.5</v>
      </c>
      <c r="W287" s="18">
        <f>SUMPRODUCT(M272:W272,AA282:AK282)</f>
        <v>3600</v>
      </c>
      <c r="X287" s="18">
        <f>SUMPRODUCT(M272:X272,Z282:AK282)</f>
        <v>3650</v>
      </c>
      <c r="Y287" s="18">
        <f>SUMPRODUCT(M272:Y272,Y282:AK282)</f>
        <v>3675</v>
      </c>
      <c r="Z287" s="18">
        <f>SUMPRODUCT(M272:Z272,X282:AK282)</f>
        <v>3700</v>
      </c>
      <c r="AA287" s="18">
        <f>SUMPRODUCT(M272:AA272,W282:AK282)</f>
        <v>3737.5</v>
      </c>
      <c r="AB287" s="18">
        <f>SUMPRODUCT(M272:AB272,V282:AK282)</f>
        <v>3850</v>
      </c>
      <c r="AC287" s="18">
        <f>SUMPRODUCT(M272:AC272,U282:AK282)</f>
        <v>3925</v>
      </c>
      <c r="AD287" s="18">
        <f>SUMPRODUCT(M272:AD272,T282:AK282)</f>
        <v>3925</v>
      </c>
      <c r="AE287" s="18">
        <f>SUMPRODUCT(M272:AE272,S282:AK282)</f>
        <v>3925</v>
      </c>
      <c r="AF287" s="18">
        <f>SUMPRODUCT(M272:AF272,R282:AK282)</f>
        <v>3925</v>
      </c>
      <c r="AG287" s="18">
        <f>SUMPRODUCT(M272:AG272,Q282:AK282)</f>
        <v>3925</v>
      </c>
      <c r="AH287" s="18">
        <f>SUMPRODUCT(M272:AH272,P282:AK282)</f>
        <v>3925</v>
      </c>
      <c r="AI287" s="18">
        <f>SUMPRODUCT(M272:AI272,O282:AK282)</f>
        <v>3925</v>
      </c>
      <c r="AJ287" s="18">
        <f>SUMPRODUCT(M272:AJ272,N282:AK282)</f>
        <v>3925</v>
      </c>
      <c r="AK287" s="18">
        <f>SUMPRODUCT(M272:AK272,M282:AK282)</f>
        <v>3925</v>
      </c>
      <c r="AL287" s="1"/>
      <c r="AM287" s="1"/>
    </row>
    <row r="288" spans="1:39" x14ac:dyDescent="0.25">
      <c r="A288" s="1"/>
      <c r="B288" s="1"/>
      <c r="C288" s="1"/>
      <c r="D288" s="7"/>
      <c r="E288" s="1"/>
      <c r="F288" s="6" t="str">
        <f>структура!$F$10</f>
        <v>хозяйственное ведение</v>
      </c>
      <c r="G288" s="1"/>
      <c r="H288" s="1" t="str">
        <f>H285</f>
        <v>тыс.руб.</v>
      </c>
      <c r="I288" s="1"/>
      <c r="J288" s="1"/>
      <c r="K288" s="1"/>
      <c r="L288" s="10"/>
      <c r="M288" s="18">
        <f>SUMPRODUCT(M273:M273,AK283)</f>
        <v>1152</v>
      </c>
      <c r="N288" s="18">
        <f>SUMPRODUCT(M273:N273,AJ283:AK283)</f>
        <v>2376</v>
      </c>
      <c r="O288" s="18">
        <f>SUMPRODUCT(M273:O273,AI283:AK283)</f>
        <v>2502</v>
      </c>
      <c r="P288" s="18">
        <f>SUMPRODUCT(M273:P273,AH283:AK283)</f>
        <v>2556</v>
      </c>
      <c r="Q288" s="18">
        <f>SUMPRODUCT(M273:Q273,AG283:AK283)</f>
        <v>2592</v>
      </c>
      <c r="R288" s="18">
        <f>SUMPRODUCT(M273:R273,AF283:AK283)</f>
        <v>2790</v>
      </c>
      <c r="S288" s="18">
        <f>SUMPRODUCT(M273:S273,AE283:AK283)</f>
        <v>2970</v>
      </c>
      <c r="T288" s="18">
        <f>SUMPRODUCT(M273:T273,AD283:AK283)</f>
        <v>3024</v>
      </c>
      <c r="U288" s="18">
        <f>SUMPRODUCT(M273:U273,AC283:AK283)</f>
        <v>3132</v>
      </c>
      <c r="V288" s="18">
        <f>SUMPRODUCT(M273:V273,AB283:AK283)</f>
        <v>3276</v>
      </c>
      <c r="W288" s="18">
        <f>SUMPRODUCT(M273:W273,AA283:AK283)</f>
        <v>3366</v>
      </c>
      <c r="X288" s="18">
        <f>SUMPRODUCT(M273:X273,Z283:AK283)</f>
        <v>3384</v>
      </c>
      <c r="Y288" s="18">
        <f>SUMPRODUCT(M273:Y273,Y283:AK283)</f>
        <v>3438</v>
      </c>
      <c r="Z288" s="18">
        <f>SUMPRODUCT(M273:Z273,X283:AK283)</f>
        <v>3491.9999999999995</v>
      </c>
      <c r="AA288" s="18">
        <f>SUMPRODUCT(M273:AA273,W283:AK283)</f>
        <v>3510</v>
      </c>
      <c r="AB288" s="18">
        <f>SUMPRODUCT(M273:AB273,V283:AK283)</f>
        <v>3600</v>
      </c>
      <c r="AC288" s="18">
        <f>SUMPRODUCT(M273:AC273,U283:AK283)</f>
        <v>3671.9999999999995</v>
      </c>
      <c r="AD288" s="18">
        <f>SUMPRODUCT(M273:AD273,T283:AK283)</f>
        <v>3671.9999999999995</v>
      </c>
      <c r="AE288" s="18">
        <f>SUMPRODUCT(M273:AE273,S283:AK283)</f>
        <v>3671.9999999999995</v>
      </c>
      <c r="AF288" s="18">
        <f>SUMPRODUCT(M273:AF273,R283:AK283)</f>
        <v>3671.9999999999995</v>
      </c>
      <c r="AG288" s="18">
        <f>SUMPRODUCT(M273:AG273,Q283:AK283)</f>
        <v>3671.9999999999995</v>
      </c>
      <c r="AH288" s="18">
        <f>SUMPRODUCT(M273:AH273,P283:AK283)</f>
        <v>3671.9999999999995</v>
      </c>
      <c r="AI288" s="18">
        <f>SUMPRODUCT(M273:AI273,O283:AK283)</f>
        <v>3671.9999999999995</v>
      </c>
      <c r="AJ288" s="18">
        <f>SUMPRODUCT(M273:AJ273,N283:AK283)</f>
        <v>3671.9999999999995</v>
      </c>
      <c r="AK288" s="18">
        <f>SUMPRODUCT(M273:AK273,M283:AK283)</f>
        <v>3671.9999999999995</v>
      </c>
      <c r="AL288" s="1"/>
      <c r="AM288" s="1"/>
    </row>
    <row r="289" spans="1:39" x14ac:dyDescent="0.25">
      <c r="A289" s="1"/>
      <c r="B289" s="1"/>
      <c r="C289" s="1"/>
      <c r="D289" s="7"/>
      <c r="E289" s="1"/>
      <c r="F289" s="1"/>
      <c r="G289" s="1"/>
      <c r="H289" s="1"/>
      <c r="I289" s="1"/>
      <c r="J289" s="1"/>
      <c r="K289" s="1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s="8" customFormat="1" x14ac:dyDescent="0.25">
      <c r="A290" s="7"/>
      <c r="B290" s="7"/>
      <c r="C290" s="7"/>
      <c r="D290" s="7"/>
      <c r="E290" s="7"/>
      <c r="F290" s="7" t="str">
        <f>KPI!$F$70</f>
        <v>%-нт соцсборов с ФОТ уборщиков</v>
      </c>
      <c r="G290" s="7"/>
      <c r="H290" s="7" t="str">
        <f>INDEX(KPI!$H:$H,SUMIFS(KPI!$D:$D,KPI!$F:$F,$F290))</f>
        <v>%</v>
      </c>
      <c r="I290" s="7"/>
      <c r="J290" s="7"/>
      <c r="K290" s="7"/>
      <c r="L290" s="10" t="s">
        <v>10</v>
      </c>
      <c r="M290" s="24">
        <v>0.3</v>
      </c>
      <c r="N290" s="24">
        <v>0.3</v>
      </c>
      <c r="O290" s="24">
        <v>0.3</v>
      </c>
      <c r="P290" s="24">
        <v>0.3</v>
      </c>
      <c r="Q290" s="24">
        <v>0.3</v>
      </c>
      <c r="R290" s="24">
        <v>0.3</v>
      </c>
      <c r="S290" s="24">
        <v>0.3</v>
      </c>
      <c r="T290" s="24">
        <v>0.3</v>
      </c>
      <c r="U290" s="24">
        <v>0.3</v>
      </c>
      <c r="V290" s="24">
        <v>0.3</v>
      </c>
      <c r="W290" s="24">
        <v>0.3</v>
      </c>
      <c r="X290" s="24">
        <v>0.3</v>
      </c>
      <c r="Y290" s="24">
        <v>0.3</v>
      </c>
      <c r="Z290" s="24">
        <v>0.3</v>
      </c>
      <c r="AA290" s="24">
        <v>0.3</v>
      </c>
      <c r="AB290" s="24">
        <v>0.3</v>
      </c>
      <c r="AC290" s="24">
        <v>0.3</v>
      </c>
      <c r="AD290" s="24">
        <v>0.3</v>
      </c>
      <c r="AE290" s="24">
        <v>0.3</v>
      </c>
      <c r="AF290" s="24">
        <v>0.3</v>
      </c>
      <c r="AG290" s="24">
        <v>0.3</v>
      </c>
      <c r="AH290" s="24">
        <v>0.3</v>
      </c>
      <c r="AI290" s="24">
        <v>0.3</v>
      </c>
      <c r="AJ290" s="24">
        <v>0.3</v>
      </c>
      <c r="AK290" s="24">
        <v>0.3</v>
      </c>
      <c r="AL290" s="7"/>
      <c r="AM290" s="7"/>
    </row>
    <row r="291" spans="1:39" x14ac:dyDescent="0.25">
      <c r="A291" s="1"/>
      <c r="B291" s="1"/>
      <c r="C291" s="1"/>
      <c r="D291" s="7"/>
      <c r="E291" s="1"/>
      <c r="F291" s="1"/>
      <c r="G291" s="1"/>
      <c r="H291" s="1"/>
      <c r="I291" s="1"/>
      <c r="J291" s="1"/>
      <c r="K291" s="1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s="8" customFormat="1" x14ac:dyDescent="0.25">
      <c r="A292" s="7"/>
      <c r="B292" s="7"/>
      <c r="C292" s="7"/>
      <c r="D292" s="7"/>
      <c r="E292" s="7"/>
      <c r="F292" s="7" t="str">
        <f>KPI!$F$71</f>
        <v>соцсборы с ФОТ уборщиков</v>
      </c>
      <c r="G292" s="7"/>
      <c r="H292" s="7" t="str">
        <f>INDEX(KPI!$H:$H,SUMIFS(KPI!$D:$D,KPI!$F:$F,$F292))</f>
        <v>тыс.руб.</v>
      </c>
      <c r="I292" s="7"/>
      <c r="J292" s="7"/>
      <c r="K292" s="7"/>
      <c r="L292" s="10"/>
      <c r="M292" s="17">
        <f>M270*M290</f>
        <v>1381.2</v>
      </c>
      <c r="N292" s="17">
        <f t="shared" ref="N292:AK292" si="163">N270*N290</f>
        <v>1461.8999999999999</v>
      </c>
      <c r="O292" s="17">
        <f t="shared" si="163"/>
        <v>1531.8</v>
      </c>
      <c r="P292" s="17">
        <f t="shared" si="163"/>
        <v>1539.3</v>
      </c>
      <c r="Q292" s="17">
        <f t="shared" si="163"/>
        <v>1605.8999999999999</v>
      </c>
      <c r="R292" s="17">
        <f t="shared" si="163"/>
        <v>1710.6</v>
      </c>
      <c r="S292" s="17">
        <f t="shared" si="163"/>
        <v>1781.3999999999999</v>
      </c>
      <c r="T292" s="17">
        <f t="shared" si="163"/>
        <v>1848</v>
      </c>
      <c r="U292" s="17">
        <f t="shared" si="163"/>
        <v>1943.6999999999998</v>
      </c>
      <c r="V292" s="17">
        <f t="shared" si="163"/>
        <v>2069.4</v>
      </c>
      <c r="W292" s="17">
        <f t="shared" si="163"/>
        <v>2110.1999999999998</v>
      </c>
      <c r="X292" s="17">
        <f t="shared" si="163"/>
        <v>2110.1999999999998</v>
      </c>
      <c r="Y292" s="17">
        <f t="shared" si="163"/>
        <v>2157.6</v>
      </c>
      <c r="Z292" s="17">
        <f t="shared" si="163"/>
        <v>2157.6</v>
      </c>
      <c r="AA292" s="17">
        <f t="shared" si="163"/>
        <v>2190.9</v>
      </c>
      <c r="AB292" s="17">
        <f t="shared" si="163"/>
        <v>2279.1</v>
      </c>
      <c r="AC292" s="17">
        <f t="shared" si="163"/>
        <v>2279.1</v>
      </c>
      <c r="AD292" s="17">
        <f t="shared" si="163"/>
        <v>2279.1</v>
      </c>
      <c r="AE292" s="17">
        <f t="shared" si="163"/>
        <v>2279.1</v>
      </c>
      <c r="AF292" s="17">
        <f t="shared" si="163"/>
        <v>2279.1</v>
      </c>
      <c r="AG292" s="17">
        <f t="shared" si="163"/>
        <v>2279.1</v>
      </c>
      <c r="AH292" s="17">
        <f t="shared" si="163"/>
        <v>2279.1</v>
      </c>
      <c r="AI292" s="17">
        <f t="shared" si="163"/>
        <v>2279.1</v>
      </c>
      <c r="AJ292" s="17">
        <f t="shared" si="163"/>
        <v>2279.1</v>
      </c>
      <c r="AK292" s="17">
        <f t="shared" si="163"/>
        <v>2279.1</v>
      </c>
      <c r="AL292" s="7"/>
      <c r="AM292" s="7"/>
    </row>
    <row r="293" spans="1:39" x14ac:dyDescent="0.25">
      <c r="A293" s="1"/>
      <c r="B293" s="1"/>
      <c r="C293" s="1"/>
      <c r="D293" s="7"/>
      <c r="E293" s="1"/>
      <c r="F293" s="1"/>
      <c r="G293" s="1"/>
      <c r="H293" s="1"/>
      <c r="I293" s="1"/>
      <c r="J293" s="1"/>
      <c r="K293" s="1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s="8" customFormat="1" x14ac:dyDescent="0.25">
      <c r="A294" s="7"/>
      <c r="B294" s="7"/>
      <c r="C294" s="7"/>
      <c r="D294" s="7"/>
      <c r="E294" s="7"/>
      <c r="F294" s="7" t="str">
        <f>KPI!$F$80</f>
        <v>кол-во коммерческого персонала</v>
      </c>
      <c r="G294" s="7"/>
      <c r="H294" s="7" t="str">
        <f>INDEX(KPI!$H:$H,SUMIFS(KPI!$D:$D,KPI!$F:$F,$F294))</f>
        <v>кол-во</v>
      </c>
      <c r="I294" s="7"/>
      <c r="J294" s="7"/>
      <c r="K294" s="7"/>
      <c r="L294" s="10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7"/>
      <c r="AM294" s="7"/>
    </row>
    <row r="295" spans="1:39" s="4" customFormat="1" ht="10.199999999999999" x14ac:dyDescent="0.2">
      <c r="A295" s="3"/>
      <c r="B295" s="3"/>
      <c r="C295" s="3"/>
      <c r="D295" s="9"/>
      <c r="E295" s="3"/>
      <c r="F295" s="5" t="str">
        <f>структура!$H$9</f>
        <v>в т.ч.</v>
      </c>
      <c r="G295" s="3"/>
      <c r="H295" s="3"/>
      <c r="I295" s="3"/>
      <c r="J295" s="3"/>
      <c r="K295" s="3"/>
      <c r="L295" s="1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x14ac:dyDescent="0.25">
      <c r="A296" s="1"/>
      <c r="B296" s="1"/>
      <c r="C296" s="1"/>
      <c r="D296" s="7"/>
      <c r="E296" s="1"/>
      <c r="F296" s="6" t="str">
        <f>структура!$F$9</f>
        <v>народный гараж</v>
      </c>
      <c r="G296" s="1"/>
      <c r="H296" s="1" t="str">
        <f>H294</f>
        <v>кол-во</v>
      </c>
      <c r="I296" s="1"/>
      <c r="J296" s="1"/>
      <c r="K296" s="1"/>
      <c r="L296" s="10" t="s">
        <v>10</v>
      </c>
      <c r="M296" s="31">
        <f>INT(M12/4)</f>
        <v>23</v>
      </c>
      <c r="N296" s="31">
        <f t="shared" ref="N296:AK296" si="164">INT(N12/4)</f>
        <v>24</v>
      </c>
      <c r="O296" s="31">
        <f t="shared" si="164"/>
        <v>25</v>
      </c>
      <c r="P296" s="31">
        <f t="shared" si="164"/>
        <v>25</v>
      </c>
      <c r="Q296" s="31">
        <f t="shared" si="164"/>
        <v>27</v>
      </c>
      <c r="R296" s="31">
        <f t="shared" si="164"/>
        <v>27</v>
      </c>
      <c r="S296" s="31">
        <f t="shared" si="164"/>
        <v>29</v>
      </c>
      <c r="T296" s="31">
        <f t="shared" si="164"/>
        <v>31</v>
      </c>
      <c r="U296" s="31">
        <f t="shared" si="164"/>
        <v>32</v>
      </c>
      <c r="V296" s="31">
        <f t="shared" si="164"/>
        <v>35</v>
      </c>
      <c r="W296" s="31">
        <f t="shared" si="164"/>
        <v>36</v>
      </c>
      <c r="X296" s="31">
        <f t="shared" si="164"/>
        <v>36</v>
      </c>
      <c r="Y296" s="31">
        <f t="shared" si="164"/>
        <v>37</v>
      </c>
      <c r="Z296" s="31">
        <f t="shared" si="164"/>
        <v>37</v>
      </c>
      <c r="AA296" s="31">
        <f t="shared" si="164"/>
        <v>37</v>
      </c>
      <c r="AB296" s="31">
        <f t="shared" si="164"/>
        <v>39</v>
      </c>
      <c r="AC296" s="31">
        <f t="shared" si="164"/>
        <v>39</v>
      </c>
      <c r="AD296" s="31">
        <f t="shared" si="164"/>
        <v>39</v>
      </c>
      <c r="AE296" s="31">
        <f t="shared" si="164"/>
        <v>39</v>
      </c>
      <c r="AF296" s="31">
        <f t="shared" si="164"/>
        <v>39</v>
      </c>
      <c r="AG296" s="31">
        <f t="shared" si="164"/>
        <v>39</v>
      </c>
      <c r="AH296" s="31">
        <f t="shared" si="164"/>
        <v>39</v>
      </c>
      <c r="AI296" s="31">
        <f t="shared" si="164"/>
        <v>39</v>
      </c>
      <c r="AJ296" s="31">
        <f t="shared" si="164"/>
        <v>39</v>
      </c>
      <c r="AK296" s="31">
        <f t="shared" si="164"/>
        <v>39</v>
      </c>
      <c r="AL296" s="3"/>
      <c r="AM296" s="3"/>
    </row>
    <row r="297" spans="1:39" x14ac:dyDescent="0.25">
      <c r="A297" s="1"/>
      <c r="B297" s="1"/>
      <c r="C297" s="1"/>
      <c r="D297" s="7"/>
      <c r="E297" s="1"/>
      <c r="F297" s="6" t="str">
        <f>структура!$F$10</f>
        <v>хозяйственное ведение</v>
      </c>
      <c r="G297" s="1"/>
      <c r="H297" s="1" t="str">
        <f>H294</f>
        <v>кол-во</v>
      </c>
      <c r="I297" s="1"/>
      <c r="J297" s="1"/>
      <c r="K297" s="1"/>
      <c r="L297" s="10" t="s">
        <v>10</v>
      </c>
      <c r="M297" s="31">
        <f>INT(M13/2)</f>
        <v>32</v>
      </c>
      <c r="N297" s="31">
        <f t="shared" ref="N297:AK297" si="165">INT(N13/2)</f>
        <v>34</v>
      </c>
      <c r="O297" s="31">
        <f t="shared" si="165"/>
        <v>35</v>
      </c>
      <c r="P297" s="31">
        <f t="shared" si="165"/>
        <v>35</v>
      </c>
      <c r="Q297" s="31">
        <f t="shared" si="165"/>
        <v>36</v>
      </c>
      <c r="R297" s="31">
        <f t="shared" si="165"/>
        <v>41</v>
      </c>
      <c r="S297" s="31">
        <f t="shared" si="165"/>
        <v>41</v>
      </c>
      <c r="T297" s="31">
        <f t="shared" si="165"/>
        <v>42</v>
      </c>
      <c r="U297" s="31">
        <f t="shared" si="165"/>
        <v>44</v>
      </c>
      <c r="V297" s="31">
        <f t="shared" si="165"/>
        <v>46</v>
      </c>
      <c r="W297" s="31">
        <f t="shared" si="165"/>
        <v>47</v>
      </c>
      <c r="X297" s="31">
        <f t="shared" si="165"/>
        <v>47</v>
      </c>
      <c r="Y297" s="31">
        <f t="shared" si="165"/>
        <v>48</v>
      </c>
      <c r="Z297" s="31">
        <f t="shared" si="165"/>
        <v>48</v>
      </c>
      <c r="AA297" s="31">
        <f t="shared" si="165"/>
        <v>49</v>
      </c>
      <c r="AB297" s="31">
        <f t="shared" si="165"/>
        <v>51</v>
      </c>
      <c r="AC297" s="31">
        <f t="shared" si="165"/>
        <v>51</v>
      </c>
      <c r="AD297" s="31">
        <f t="shared" si="165"/>
        <v>51</v>
      </c>
      <c r="AE297" s="31">
        <f t="shared" si="165"/>
        <v>51</v>
      </c>
      <c r="AF297" s="31">
        <f t="shared" si="165"/>
        <v>51</v>
      </c>
      <c r="AG297" s="31">
        <f t="shared" si="165"/>
        <v>51</v>
      </c>
      <c r="AH297" s="31">
        <f t="shared" si="165"/>
        <v>51</v>
      </c>
      <c r="AI297" s="31">
        <f t="shared" si="165"/>
        <v>51</v>
      </c>
      <c r="AJ297" s="31">
        <f t="shared" si="165"/>
        <v>51</v>
      </c>
      <c r="AK297" s="31">
        <f t="shared" si="165"/>
        <v>51</v>
      </c>
      <c r="AL297" s="3"/>
      <c r="AM297" s="3"/>
    </row>
    <row r="298" spans="1:39" x14ac:dyDescent="0.25">
      <c r="A298" s="1"/>
      <c r="B298" s="1"/>
      <c r="C298" s="1"/>
      <c r="D298" s="7"/>
      <c r="E298" s="1"/>
      <c r="F298" s="1"/>
      <c r="G298" s="1"/>
      <c r="H298" s="1"/>
      <c r="I298" s="1"/>
      <c r="J298" s="1"/>
      <c r="K298" s="1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s="8" customFormat="1" x14ac:dyDescent="0.25">
      <c r="A299" s="7"/>
      <c r="B299" s="7"/>
      <c r="C299" s="7"/>
      <c r="D299" s="7"/>
      <c r="E299" s="7"/>
      <c r="F299" s="7" t="str">
        <f>KPI!$F$81</f>
        <v>средний оклад одного менеджера по продажам</v>
      </c>
      <c r="G299" s="7"/>
      <c r="H299" s="7" t="str">
        <f>INDEX(KPI!$H:$H,SUMIFS(KPI!$D:$D,KPI!$F:$F,$F299))</f>
        <v>тыс.руб.</v>
      </c>
      <c r="I299" s="7"/>
      <c r="J299" s="7"/>
      <c r="K299" s="7"/>
      <c r="L299" s="10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7"/>
      <c r="AM299" s="7"/>
    </row>
    <row r="300" spans="1:39" s="4" customFormat="1" ht="10.199999999999999" x14ac:dyDescent="0.2">
      <c r="A300" s="3"/>
      <c r="B300" s="3"/>
      <c r="C300" s="3"/>
      <c r="D300" s="9"/>
      <c r="E300" s="3"/>
      <c r="F300" s="5" t="str">
        <f>структура!$H$9</f>
        <v>в т.ч.</v>
      </c>
      <c r="G300" s="3"/>
      <c r="H300" s="3"/>
      <c r="I300" s="3"/>
      <c r="J300" s="3"/>
      <c r="K300" s="3"/>
      <c r="L300" s="1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x14ac:dyDescent="0.25">
      <c r="A301" s="1"/>
      <c r="B301" s="1"/>
      <c r="C301" s="1"/>
      <c r="D301" s="7"/>
      <c r="E301" s="1"/>
      <c r="F301" s="6" t="str">
        <f>структура!$F$9</f>
        <v>народный гараж</v>
      </c>
      <c r="G301" s="1"/>
      <c r="H301" s="1" t="str">
        <f>H299</f>
        <v>тыс.руб.</v>
      </c>
      <c r="I301" s="1"/>
      <c r="J301" s="1"/>
      <c r="K301" s="1"/>
      <c r="L301" s="10" t="s">
        <v>10</v>
      </c>
      <c r="M301" s="30">
        <v>60</v>
      </c>
      <c r="N301" s="30">
        <v>60</v>
      </c>
      <c r="O301" s="30">
        <v>60</v>
      </c>
      <c r="P301" s="30">
        <v>60</v>
      </c>
      <c r="Q301" s="30">
        <v>60</v>
      </c>
      <c r="R301" s="30">
        <v>60</v>
      </c>
      <c r="S301" s="30">
        <v>60</v>
      </c>
      <c r="T301" s="30">
        <v>60</v>
      </c>
      <c r="U301" s="30">
        <v>60</v>
      </c>
      <c r="V301" s="30">
        <v>60</v>
      </c>
      <c r="W301" s="30">
        <v>60</v>
      </c>
      <c r="X301" s="30">
        <v>60</v>
      </c>
      <c r="Y301" s="30">
        <v>60</v>
      </c>
      <c r="Z301" s="30">
        <v>60</v>
      </c>
      <c r="AA301" s="30">
        <v>60</v>
      </c>
      <c r="AB301" s="30">
        <v>60</v>
      </c>
      <c r="AC301" s="30">
        <v>60</v>
      </c>
      <c r="AD301" s="30">
        <v>60</v>
      </c>
      <c r="AE301" s="30">
        <v>60</v>
      </c>
      <c r="AF301" s="30">
        <v>60</v>
      </c>
      <c r="AG301" s="30">
        <v>60</v>
      </c>
      <c r="AH301" s="30">
        <v>60</v>
      </c>
      <c r="AI301" s="30">
        <v>60</v>
      </c>
      <c r="AJ301" s="30">
        <v>60</v>
      </c>
      <c r="AK301" s="30">
        <v>60</v>
      </c>
      <c r="AL301" s="1"/>
      <c r="AM301" s="1"/>
    </row>
    <row r="302" spans="1:39" x14ac:dyDescent="0.25">
      <c r="A302" s="1"/>
      <c r="B302" s="1"/>
      <c r="C302" s="1"/>
      <c r="D302" s="7"/>
      <c r="E302" s="1"/>
      <c r="F302" s="6" t="str">
        <f>структура!$F$10</f>
        <v>хозяйственное ведение</v>
      </c>
      <c r="G302" s="1"/>
      <c r="H302" s="1" t="str">
        <f>H299</f>
        <v>тыс.руб.</v>
      </c>
      <c r="I302" s="1"/>
      <c r="J302" s="1"/>
      <c r="K302" s="1"/>
      <c r="L302" s="10" t="s">
        <v>10</v>
      </c>
      <c r="M302" s="30">
        <v>70</v>
      </c>
      <c r="N302" s="30">
        <v>70</v>
      </c>
      <c r="O302" s="30">
        <v>70</v>
      </c>
      <c r="P302" s="30">
        <v>70</v>
      </c>
      <c r="Q302" s="30">
        <v>70</v>
      </c>
      <c r="R302" s="30">
        <v>70</v>
      </c>
      <c r="S302" s="30">
        <v>70</v>
      </c>
      <c r="T302" s="30">
        <v>70</v>
      </c>
      <c r="U302" s="30">
        <v>70</v>
      </c>
      <c r="V302" s="30">
        <v>70</v>
      </c>
      <c r="W302" s="30">
        <v>70</v>
      </c>
      <c r="X302" s="30">
        <v>70</v>
      </c>
      <c r="Y302" s="30">
        <v>70</v>
      </c>
      <c r="Z302" s="30">
        <v>70</v>
      </c>
      <c r="AA302" s="30">
        <v>70</v>
      </c>
      <c r="AB302" s="30">
        <v>70</v>
      </c>
      <c r="AC302" s="30">
        <v>70</v>
      </c>
      <c r="AD302" s="30">
        <v>70</v>
      </c>
      <c r="AE302" s="30">
        <v>70</v>
      </c>
      <c r="AF302" s="30">
        <v>70</v>
      </c>
      <c r="AG302" s="30">
        <v>70</v>
      </c>
      <c r="AH302" s="30">
        <v>70</v>
      </c>
      <c r="AI302" s="30">
        <v>70</v>
      </c>
      <c r="AJ302" s="30">
        <v>70</v>
      </c>
      <c r="AK302" s="30">
        <v>70</v>
      </c>
      <c r="AL302" s="1"/>
      <c r="AM302" s="1"/>
    </row>
    <row r="303" spans="1:39" x14ac:dyDescent="0.25">
      <c r="A303" s="1"/>
      <c r="B303" s="1"/>
      <c r="C303" s="1"/>
      <c r="D303" s="7"/>
      <c r="E303" s="1"/>
      <c r="F303" s="1"/>
      <c r="G303" s="1"/>
      <c r="H303" s="1"/>
      <c r="I303" s="1"/>
      <c r="J303" s="1"/>
      <c r="K303" s="1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s="8" customFormat="1" x14ac:dyDescent="0.25">
      <c r="A304" s="7"/>
      <c r="B304" s="7"/>
      <c r="C304" s="7"/>
      <c r="D304" s="27"/>
      <c r="E304" s="7"/>
      <c r="F304" s="27" t="str">
        <f>KPI!$F$82</f>
        <v>ФОТ коммерческого персонала</v>
      </c>
      <c r="G304" s="7"/>
      <c r="H304" s="27" t="str">
        <f>INDEX(KPI!$H:$H,SUMIFS(KPI!$D:$D,KPI!$F:$F,$F304))</f>
        <v>тыс.руб.</v>
      </c>
      <c r="I304" s="7"/>
      <c r="J304" s="7"/>
      <c r="K304" s="7"/>
      <c r="L304" s="10"/>
      <c r="M304" s="28">
        <f>SUM(M305:M307)</f>
        <v>3620</v>
      </c>
      <c r="N304" s="28">
        <f t="shared" ref="N304:AK304" si="166">SUM(N305:N307)</f>
        <v>3820</v>
      </c>
      <c r="O304" s="28">
        <f t="shared" si="166"/>
        <v>3950</v>
      </c>
      <c r="P304" s="28">
        <f t="shared" si="166"/>
        <v>3950</v>
      </c>
      <c r="Q304" s="28">
        <f t="shared" si="166"/>
        <v>4140</v>
      </c>
      <c r="R304" s="28">
        <f t="shared" si="166"/>
        <v>4490</v>
      </c>
      <c r="S304" s="28">
        <f t="shared" si="166"/>
        <v>4610</v>
      </c>
      <c r="T304" s="28">
        <f t="shared" si="166"/>
        <v>4800</v>
      </c>
      <c r="U304" s="28">
        <f t="shared" si="166"/>
        <v>5000</v>
      </c>
      <c r="V304" s="28">
        <f t="shared" si="166"/>
        <v>5320</v>
      </c>
      <c r="W304" s="28">
        <f t="shared" si="166"/>
        <v>5450</v>
      </c>
      <c r="X304" s="28">
        <f t="shared" si="166"/>
        <v>5450</v>
      </c>
      <c r="Y304" s="28">
        <f t="shared" si="166"/>
        <v>5580</v>
      </c>
      <c r="Z304" s="28">
        <f t="shared" si="166"/>
        <v>5580</v>
      </c>
      <c r="AA304" s="28">
        <f t="shared" si="166"/>
        <v>5650</v>
      </c>
      <c r="AB304" s="28">
        <f t="shared" si="166"/>
        <v>5910</v>
      </c>
      <c r="AC304" s="28">
        <f t="shared" si="166"/>
        <v>5910</v>
      </c>
      <c r="AD304" s="28">
        <f t="shared" si="166"/>
        <v>5910</v>
      </c>
      <c r="AE304" s="28">
        <f t="shared" si="166"/>
        <v>5910</v>
      </c>
      <c r="AF304" s="28">
        <f t="shared" si="166"/>
        <v>5910</v>
      </c>
      <c r="AG304" s="28">
        <f t="shared" si="166"/>
        <v>5910</v>
      </c>
      <c r="AH304" s="28">
        <f t="shared" si="166"/>
        <v>5910</v>
      </c>
      <c r="AI304" s="28">
        <f t="shared" si="166"/>
        <v>5910</v>
      </c>
      <c r="AJ304" s="28">
        <f t="shared" si="166"/>
        <v>5910</v>
      </c>
      <c r="AK304" s="28">
        <f t="shared" si="166"/>
        <v>5910</v>
      </c>
      <c r="AL304" s="7"/>
      <c r="AM304" s="7"/>
    </row>
    <row r="305" spans="1:39" s="4" customFormat="1" ht="10.199999999999999" x14ac:dyDescent="0.2">
      <c r="A305" s="3"/>
      <c r="B305" s="3"/>
      <c r="C305" s="3"/>
      <c r="D305" s="9"/>
      <c r="E305" s="3"/>
      <c r="F305" s="5" t="str">
        <f>структура!$H$9</f>
        <v>в т.ч.</v>
      </c>
      <c r="G305" s="3"/>
      <c r="H305" s="3"/>
      <c r="I305" s="3"/>
      <c r="J305" s="3"/>
      <c r="K305" s="3"/>
      <c r="L305" s="1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x14ac:dyDescent="0.25">
      <c r="A306" s="1"/>
      <c r="B306" s="1"/>
      <c r="C306" s="1"/>
      <c r="D306" s="7"/>
      <c r="E306" s="1"/>
      <c r="F306" s="6" t="str">
        <f>структура!$F$9</f>
        <v>народный гараж</v>
      </c>
      <c r="G306" s="1"/>
      <c r="H306" s="1" t="str">
        <f>H304</f>
        <v>тыс.руб.</v>
      </c>
      <c r="I306" s="1"/>
      <c r="J306" s="1"/>
      <c r="K306" s="1"/>
      <c r="L306" s="10"/>
      <c r="M306" s="18">
        <f>M296*M301</f>
        <v>1380</v>
      </c>
      <c r="N306" s="18">
        <f t="shared" ref="N306:AK306" si="167">N296*N301</f>
        <v>1440</v>
      </c>
      <c r="O306" s="18">
        <f t="shared" si="167"/>
        <v>1500</v>
      </c>
      <c r="P306" s="18">
        <f t="shared" si="167"/>
        <v>1500</v>
      </c>
      <c r="Q306" s="18">
        <f t="shared" si="167"/>
        <v>1620</v>
      </c>
      <c r="R306" s="18">
        <f t="shared" si="167"/>
        <v>1620</v>
      </c>
      <c r="S306" s="18">
        <f t="shared" si="167"/>
        <v>1740</v>
      </c>
      <c r="T306" s="18">
        <f t="shared" si="167"/>
        <v>1860</v>
      </c>
      <c r="U306" s="18">
        <f t="shared" si="167"/>
        <v>1920</v>
      </c>
      <c r="V306" s="18">
        <f t="shared" si="167"/>
        <v>2100</v>
      </c>
      <c r="W306" s="18">
        <f t="shared" si="167"/>
        <v>2160</v>
      </c>
      <c r="X306" s="18">
        <f t="shared" si="167"/>
        <v>2160</v>
      </c>
      <c r="Y306" s="18">
        <f t="shared" si="167"/>
        <v>2220</v>
      </c>
      <c r="Z306" s="18">
        <f t="shared" si="167"/>
        <v>2220</v>
      </c>
      <c r="AA306" s="18">
        <f t="shared" si="167"/>
        <v>2220</v>
      </c>
      <c r="AB306" s="18">
        <f t="shared" si="167"/>
        <v>2340</v>
      </c>
      <c r="AC306" s="18">
        <f t="shared" si="167"/>
        <v>2340</v>
      </c>
      <c r="AD306" s="18">
        <f t="shared" si="167"/>
        <v>2340</v>
      </c>
      <c r="AE306" s="18">
        <f t="shared" si="167"/>
        <v>2340</v>
      </c>
      <c r="AF306" s="18">
        <f t="shared" si="167"/>
        <v>2340</v>
      </c>
      <c r="AG306" s="18">
        <f t="shared" si="167"/>
        <v>2340</v>
      </c>
      <c r="AH306" s="18">
        <f t="shared" si="167"/>
        <v>2340</v>
      </c>
      <c r="AI306" s="18">
        <f t="shared" si="167"/>
        <v>2340</v>
      </c>
      <c r="AJ306" s="18">
        <f t="shared" si="167"/>
        <v>2340</v>
      </c>
      <c r="AK306" s="18">
        <f t="shared" si="167"/>
        <v>2340</v>
      </c>
      <c r="AL306" s="1"/>
      <c r="AM306" s="1"/>
    </row>
    <row r="307" spans="1:39" x14ac:dyDescent="0.25">
      <c r="A307" s="1"/>
      <c r="B307" s="1"/>
      <c r="C307" s="1"/>
      <c r="D307" s="7"/>
      <c r="E307" s="1"/>
      <c r="F307" s="6" t="str">
        <f>структура!$F$10</f>
        <v>хозяйственное ведение</v>
      </c>
      <c r="G307" s="1"/>
      <c r="H307" s="1" t="str">
        <f>H304</f>
        <v>тыс.руб.</v>
      </c>
      <c r="I307" s="1"/>
      <c r="J307" s="1"/>
      <c r="K307" s="1"/>
      <c r="L307" s="10"/>
      <c r="M307" s="18">
        <f>M297*M302</f>
        <v>2240</v>
      </c>
      <c r="N307" s="18">
        <f t="shared" ref="N307:AK307" si="168">N297*N302</f>
        <v>2380</v>
      </c>
      <c r="O307" s="18">
        <f t="shared" si="168"/>
        <v>2450</v>
      </c>
      <c r="P307" s="18">
        <f t="shared" si="168"/>
        <v>2450</v>
      </c>
      <c r="Q307" s="18">
        <f t="shared" si="168"/>
        <v>2520</v>
      </c>
      <c r="R307" s="18">
        <f t="shared" si="168"/>
        <v>2870</v>
      </c>
      <c r="S307" s="18">
        <f t="shared" si="168"/>
        <v>2870</v>
      </c>
      <c r="T307" s="18">
        <f t="shared" si="168"/>
        <v>2940</v>
      </c>
      <c r="U307" s="18">
        <f t="shared" si="168"/>
        <v>3080</v>
      </c>
      <c r="V307" s="18">
        <f t="shared" si="168"/>
        <v>3220</v>
      </c>
      <c r="W307" s="18">
        <f t="shared" si="168"/>
        <v>3290</v>
      </c>
      <c r="X307" s="18">
        <f t="shared" si="168"/>
        <v>3290</v>
      </c>
      <c r="Y307" s="18">
        <f t="shared" si="168"/>
        <v>3360</v>
      </c>
      <c r="Z307" s="18">
        <f t="shared" si="168"/>
        <v>3360</v>
      </c>
      <c r="AA307" s="18">
        <f t="shared" si="168"/>
        <v>3430</v>
      </c>
      <c r="AB307" s="18">
        <f t="shared" si="168"/>
        <v>3570</v>
      </c>
      <c r="AC307" s="18">
        <f t="shared" si="168"/>
        <v>3570</v>
      </c>
      <c r="AD307" s="18">
        <f t="shared" si="168"/>
        <v>3570</v>
      </c>
      <c r="AE307" s="18">
        <f t="shared" si="168"/>
        <v>3570</v>
      </c>
      <c r="AF307" s="18">
        <f t="shared" si="168"/>
        <v>3570</v>
      </c>
      <c r="AG307" s="18">
        <f t="shared" si="168"/>
        <v>3570</v>
      </c>
      <c r="AH307" s="18">
        <f t="shared" si="168"/>
        <v>3570</v>
      </c>
      <c r="AI307" s="18">
        <f t="shared" si="168"/>
        <v>3570</v>
      </c>
      <c r="AJ307" s="18">
        <f t="shared" si="168"/>
        <v>3570</v>
      </c>
      <c r="AK307" s="18">
        <f t="shared" si="168"/>
        <v>3570</v>
      </c>
      <c r="AL307" s="1"/>
      <c r="AM307" s="1"/>
    </row>
    <row r="308" spans="1:39" x14ac:dyDescent="0.25">
      <c r="A308" s="1"/>
      <c r="B308" s="1"/>
      <c r="C308" s="1"/>
      <c r="D308" s="7"/>
      <c r="E308" s="1"/>
      <c r="F308" s="1"/>
      <c r="G308" s="1"/>
      <c r="H308" s="1"/>
      <c r="I308" s="1"/>
      <c r="J308" s="1"/>
      <c r="K308" s="1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s="8" customFormat="1" x14ac:dyDescent="0.25">
      <c r="A309" s="7"/>
      <c r="B309" s="7"/>
      <c r="C309" s="7"/>
      <c r="D309" s="7" t="str">
        <f>структура!$D$15</f>
        <v>Списания ДС</v>
      </c>
      <c r="E309" s="7"/>
      <c r="F309" s="7" t="str">
        <f>KPI!$F$83</f>
        <v>распределение выплат ФОТ коммерческого персонала</v>
      </c>
      <c r="G309" s="7"/>
      <c r="H309" s="7" t="str">
        <f>INDEX(KPI!$H:$H,SUMIFS(KPI!$D:$D,KPI!$F:$F,$F309))</f>
        <v>%</v>
      </c>
      <c r="I309" s="7"/>
      <c r="J309" s="7"/>
      <c r="K309" s="7"/>
      <c r="L309" s="10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7"/>
      <c r="AM309" s="7"/>
    </row>
    <row r="310" spans="1:39" s="4" customFormat="1" ht="10.199999999999999" x14ac:dyDescent="0.2">
      <c r="A310" s="3"/>
      <c r="B310" s="3"/>
      <c r="C310" s="3"/>
      <c r="D310" s="9"/>
      <c r="E310" s="3"/>
      <c r="F310" s="5" t="str">
        <f>структура!$H$9</f>
        <v>в т.ч.</v>
      </c>
      <c r="G310" s="3"/>
      <c r="H310" s="3"/>
      <c r="I310" s="3"/>
      <c r="J310" s="3"/>
      <c r="K310" s="3"/>
      <c r="L310" s="1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x14ac:dyDescent="0.25">
      <c r="A311" s="1"/>
      <c r="B311" s="1"/>
      <c r="C311" s="1"/>
      <c r="D311" s="7"/>
      <c r="E311" s="1"/>
      <c r="F311" s="6" t="str">
        <f>структура!$F$9</f>
        <v>народный гараж</v>
      </c>
      <c r="G311" s="1"/>
      <c r="H311" s="1" t="str">
        <f>H309</f>
        <v>%</v>
      </c>
      <c r="I311" s="1"/>
      <c r="J311" s="1"/>
      <c r="K311" s="1"/>
      <c r="L311" s="10" t="s">
        <v>10</v>
      </c>
      <c r="M311" s="24">
        <v>0.3</v>
      </c>
      <c r="N311" s="24">
        <v>0.7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5">
        <v>0</v>
      </c>
      <c r="AK311" s="26">
        <f>100%-SUM(M311:AJ311)</f>
        <v>0</v>
      </c>
      <c r="AL311" s="1"/>
      <c r="AM311" s="1"/>
    </row>
    <row r="312" spans="1:39" x14ac:dyDescent="0.25">
      <c r="A312" s="1"/>
      <c r="B312" s="1"/>
      <c r="C312" s="1"/>
      <c r="D312" s="7"/>
      <c r="E312" s="1"/>
      <c r="F312" s="6" t="str">
        <f>структура!$F$10</f>
        <v>хозяйственное ведение</v>
      </c>
      <c r="G312" s="1"/>
      <c r="H312" s="1" t="str">
        <f>H309</f>
        <v>%</v>
      </c>
      <c r="I312" s="1"/>
      <c r="J312" s="1"/>
      <c r="K312" s="1"/>
      <c r="L312" s="10" t="s">
        <v>10</v>
      </c>
      <c r="M312" s="24">
        <v>0.3</v>
      </c>
      <c r="N312" s="24">
        <v>0.7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5">
        <v>0</v>
      </c>
      <c r="AK312" s="26">
        <f>100%-SUM(M312:AJ312)</f>
        <v>0</v>
      </c>
      <c r="AL312" s="1"/>
      <c r="AM312" s="1"/>
    </row>
    <row r="313" spans="1:39" x14ac:dyDescent="0.25">
      <c r="A313" s="1"/>
      <c r="B313" s="1"/>
      <c r="C313" s="1"/>
      <c r="D313" s="7"/>
      <c r="E313" s="1"/>
      <c r="F313" s="1"/>
      <c r="G313" s="1"/>
      <c r="H313" s="1"/>
      <c r="I313" s="1"/>
      <c r="J313" s="1"/>
      <c r="K313" s="1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s="8" customFormat="1" x14ac:dyDescent="0.25">
      <c r="A314" s="7"/>
      <c r="B314" s="7"/>
      <c r="C314" s="7"/>
      <c r="D314" s="7"/>
      <c r="E314" s="7"/>
      <c r="F314" s="7" t="str">
        <f>KPI!$F$84</f>
        <v>обратное распр-ние выплат ФОТ коммерсантов</v>
      </c>
      <c r="G314" s="7"/>
      <c r="H314" s="7" t="str">
        <f>INDEX(KPI!$H:$H,SUMIFS(KPI!$D:$D,KPI!$F:$F,$F314))</f>
        <v>%</v>
      </c>
      <c r="I314" s="7"/>
      <c r="J314" s="7"/>
      <c r="K314" s="7"/>
      <c r="L314" s="10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7"/>
      <c r="AM314" s="7"/>
    </row>
    <row r="315" spans="1:39" s="4" customFormat="1" ht="10.199999999999999" x14ac:dyDescent="0.2">
      <c r="A315" s="3"/>
      <c r="B315" s="3"/>
      <c r="C315" s="3"/>
      <c r="D315" s="9"/>
      <c r="E315" s="3"/>
      <c r="F315" s="5" t="str">
        <f>структура!$H$9</f>
        <v>в т.ч.</v>
      </c>
      <c r="G315" s="3"/>
      <c r="H315" s="3"/>
      <c r="I315" s="3"/>
      <c r="J315" s="3"/>
      <c r="K315" s="3"/>
      <c r="L315" s="1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x14ac:dyDescent="0.25">
      <c r="A316" s="1"/>
      <c r="B316" s="1"/>
      <c r="C316" s="1"/>
      <c r="D316" s="7"/>
      <c r="E316" s="1"/>
      <c r="F316" s="6" t="str">
        <f>структура!$F$9</f>
        <v>народный гараж</v>
      </c>
      <c r="G316" s="1"/>
      <c r="H316" s="1" t="str">
        <f>H314</f>
        <v>%</v>
      </c>
      <c r="I316" s="1"/>
      <c r="J316" s="1"/>
      <c r="K316" s="1"/>
      <c r="L316" s="10"/>
      <c r="M316" s="23">
        <f t="shared" ref="M316:AK316" si="169">SUMIFS(311:311,$1:$1,M$2)</f>
        <v>0</v>
      </c>
      <c r="N316" s="23">
        <f t="shared" si="169"/>
        <v>0</v>
      </c>
      <c r="O316" s="23">
        <f t="shared" si="169"/>
        <v>0</v>
      </c>
      <c r="P316" s="23">
        <f t="shared" si="169"/>
        <v>0</v>
      </c>
      <c r="Q316" s="23">
        <f t="shared" si="169"/>
        <v>0</v>
      </c>
      <c r="R316" s="23">
        <f t="shared" si="169"/>
        <v>0</v>
      </c>
      <c r="S316" s="23">
        <f t="shared" si="169"/>
        <v>0</v>
      </c>
      <c r="T316" s="23">
        <f t="shared" si="169"/>
        <v>0</v>
      </c>
      <c r="U316" s="23">
        <f t="shared" si="169"/>
        <v>0</v>
      </c>
      <c r="V316" s="23">
        <f t="shared" si="169"/>
        <v>0</v>
      </c>
      <c r="W316" s="23">
        <f t="shared" si="169"/>
        <v>0</v>
      </c>
      <c r="X316" s="23">
        <f t="shared" si="169"/>
        <v>0</v>
      </c>
      <c r="Y316" s="23">
        <f t="shared" si="169"/>
        <v>0</v>
      </c>
      <c r="Z316" s="23">
        <f t="shared" si="169"/>
        <v>0</v>
      </c>
      <c r="AA316" s="23">
        <f t="shared" si="169"/>
        <v>0</v>
      </c>
      <c r="AB316" s="23">
        <f t="shared" si="169"/>
        <v>0</v>
      </c>
      <c r="AC316" s="23">
        <f t="shared" si="169"/>
        <v>0</v>
      </c>
      <c r="AD316" s="23">
        <f t="shared" si="169"/>
        <v>0</v>
      </c>
      <c r="AE316" s="23">
        <f t="shared" si="169"/>
        <v>0</v>
      </c>
      <c r="AF316" s="23">
        <f t="shared" si="169"/>
        <v>0</v>
      </c>
      <c r="AG316" s="23">
        <f t="shared" si="169"/>
        <v>0</v>
      </c>
      <c r="AH316" s="23">
        <f t="shared" si="169"/>
        <v>0</v>
      </c>
      <c r="AI316" s="23">
        <f t="shared" si="169"/>
        <v>0</v>
      </c>
      <c r="AJ316" s="23">
        <f t="shared" si="169"/>
        <v>0.7</v>
      </c>
      <c r="AK316" s="23">
        <f t="shared" si="169"/>
        <v>0.3</v>
      </c>
      <c r="AL316" s="1"/>
      <c r="AM316" s="1"/>
    </row>
    <row r="317" spans="1:39" x14ac:dyDescent="0.25">
      <c r="A317" s="1"/>
      <c r="B317" s="1"/>
      <c r="C317" s="1"/>
      <c r="D317" s="7"/>
      <c r="E317" s="1"/>
      <c r="F317" s="6" t="str">
        <f>структура!$F$10</f>
        <v>хозяйственное ведение</v>
      </c>
      <c r="G317" s="1"/>
      <c r="H317" s="1" t="str">
        <f>H314</f>
        <v>%</v>
      </c>
      <c r="I317" s="1"/>
      <c r="J317" s="1"/>
      <c r="K317" s="1"/>
      <c r="L317" s="10"/>
      <c r="M317" s="23">
        <f t="shared" ref="M317:AK317" si="170">SUMIFS(312:312,$1:$1,M$2)</f>
        <v>0</v>
      </c>
      <c r="N317" s="23">
        <f t="shared" si="170"/>
        <v>0</v>
      </c>
      <c r="O317" s="23">
        <f t="shared" si="170"/>
        <v>0</v>
      </c>
      <c r="P317" s="23">
        <f t="shared" si="170"/>
        <v>0</v>
      </c>
      <c r="Q317" s="23">
        <f t="shared" si="170"/>
        <v>0</v>
      </c>
      <c r="R317" s="23">
        <f t="shared" si="170"/>
        <v>0</v>
      </c>
      <c r="S317" s="23">
        <f t="shared" si="170"/>
        <v>0</v>
      </c>
      <c r="T317" s="23">
        <f t="shared" si="170"/>
        <v>0</v>
      </c>
      <c r="U317" s="23">
        <f t="shared" si="170"/>
        <v>0</v>
      </c>
      <c r="V317" s="23">
        <f t="shared" si="170"/>
        <v>0</v>
      </c>
      <c r="W317" s="23">
        <f t="shared" si="170"/>
        <v>0</v>
      </c>
      <c r="X317" s="23">
        <f t="shared" si="170"/>
        <v>0</v>
      </c>
      <c r="Y317" s="23">
        <f t="shared" si="170"/>
        <v>0</v>
      </c>
      <c r="Z317" s="23">
        <f t="shared" si="170"/>
        <v>0</v>
      </c>
      <c r="AA317" s="23">
        <f t="shared" si="170"/>
        <v>0</v>
      </c>
      <c r="AB317" s="23">
        <f t="shared" si="170"/>
        <v>0</v>
      </c>
      <c r="AC317" s="23">
        <f t="shared" si="170"/>
        <v>0</v>
      </c>
      <c r="AD317" s="23">
        <f t="shared" si="170"/>
        <v>0</v>
      </c>
      <c r="AE317" s="23">
        <f t="shared" si="170"/>
        <v>0</v>
      </c>
      <c r="AF317" s="23">
        <f t="shared" si="170"/>
        <v>0</v>
      </c>
      <c r="AG317" s="23">
        <f t="shared" si="170"/>
        <v>0</v>
      </c>
      <c r="AH317" s="23">
        <f t="shared" si="170"/>
        <v>0</v>
      </c>
      <c r="AI317" s="23">
        <f t="shared" si="170"/>
        <v>0</v>
      </c>
      <c r="AJ317" s="23">
        <f t="shared" si="170"/>
        <v>0.7</v>
      </c>
      <c r="AK317" s="23">
        <f t="shared" si="170"/>
        <v>0.3</v>
      </c>
      <c r="AL317" s="1"/>
      <c r="AM317" s="1"/>
    </row>
    <row r="318" spans="1:39" x14ac:dyDescent="0.25">
      <c r="A318" s="1"/>
      <c r="B318" s="1"/>
      <c r="C318" s="1"/>
      <c r="D318" s="7"/>
      <c r="E318" s="1"/>
      <c r="F318" s="1"/>
      <c r="G318" s="1"/>
      <c r="H318" s="1"/>
      <c r="I318" s="1"/>
      <c r="J318" s="1"/>
      <c r="K318" s="1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s="8" customFormat="1" x14ac:dyDescent="0.25">
      <c r="A319" s="7"/>
      <c r="B319" s="7"/>
      <c r="C319" s="7"/>
      <c r="D319" s="27" t="str">
        <f>структура!$D$16</f>
        <v>CFOut</v>
      </c>
      <c r="E319" s="7"/>
      <c r="F319" s="27" t="str">
        <f>KPI!$F$85</f>
        <v>оплата ФОТ коммерческого персонала</v>
      </c>
      <c r="G319" s="7"/>
      <c r="H319" s="27" t="str">
        <f>INDEX(KPI!$H:$H,SUMIFS(KPI!$D:$D,KPI!$F:$F,$F319))</f>
        <v>тыс.руб.</v>
      </c>
      <c r="I319" s="7"/>
      <c r="J319" s="7"/>
      <c r="K319" s="7"/>
      <c r="L319" s="10"/>
      <c r="M319" s="28">
        <f>SUM(M320:M322)</f>
        <v>1086</v>
      </c>
      <c r="N319" s="28">
        <f t="shared" ref="N319:AK319" si="171">SUM(N320:N322)</f>
        <v>3680</v>
      </c>
      <c r="O319" s="28">
        <f t="shared" si="171"/>
        <v>3859</v>
      </c>
      <c r="P319" s="28">
        <f t="shared" si="171"/>
        <v>3950</v>
      </c>
      <c r="Q319" s="28">
        <f t="shared" si="171"/>
        <v>4007</v>
      </c>
      <c r="R319" s="28">
        <f t="shared" si="171"/>
        <v>4245</v>
      </c>
      <c r="S319" s="28">
        <f t="shared" si="171"/>
        <v>4526</v>
      </c>
      <c r="T319" s="28">
        <f t="shared" si="171"/>
        <v>4667</v>
      </c>
      <c r="U319" s="28">
        <f t="shared" si="171"/>
        <v>4860</v>
      </c>
      <c r="V319" s="28">
        <f t="shared" si="171"/>
        <v>5096</v>
      </c>
      <c r="W319" s="28">
        <f t="shared" si="171"/>
        <v>5359</v>
      </c>
      <c r="X319" s="28">
        <f t="shared" si="171"/>
        <v>5450</v>
      </c>
      <c r="Y319" s="28">
        <f t="shared" si="171"/>
        <v>5489</v>
      </c>
      <c r="Z319" s="28">
        <f t="shared" si="171"/>
        <v>5580</v>
      </c>
      <c r="AA319" s="28">
        <f t="shared" si="171"/>
        <v>5601</v>
      </c>
      <c r="AB319" s="28">
        <f t="shared" si="171"/>
        <v>5728</v>
      </c>
      <c r="AC319" s="28">
        <f t="shared" si="171"/>
        <v>5910</v>
      </c>
      <c r="AD319" s="28">
        <f t="shared" si="171"/>
        <v>5910</v>
      </c>
      <c r="AE319" s="28">
        <f t="shared" si="171"/>
        <v>5910</v>
      </c>
      <c r="AF319" s="28">
        <f t="shared" si="171"/>
        <v>5910</v>
      </c>
      <c r="AG319" s="28">
        <f t="shared" si="171"/>
        <v>5910</v>
      </c>
      <c r="AH319" s="28">
        <f t="shared" si="171"/>
        <v>5910</v>
      </c>
      <c r="AI319" s="28">
        <f t="shared" si="171"/>
        <v>5910</v>
      </c>
      <c r="AJ319" s="28">
        <f t="shared" si="171"/>
        <v>5910</v>
      </c>
      <c r="AK319" s="28">
        <f t="shared" si="171"/>
        <v>5910</v>
      </c>
      <c r="AL319" s="7"/>
      <c r="AM319" s="7"/>
    </row>
    <row r="320" spans="1:39" s="4" customFormat="1" ht="10.199999999999999" x14ac:dyDescent="0.2">
      <c r="A320" s="3"/>
      <c r="B320" s="3"/>
      <c r="C320" s="3"/>
      <c r="D320" s="9"/>
      <c r="E320" s="3"/>
      <c r="F320" s="5" t="str">
        <f>структура!$H$9</f>
        <v>в т.ч.</v>
      </c>
      <c r="G320" s="3"/>
      <c r="H320" s="3"/>
      <c r="I320" s="3"/>
      <c r="J320" s="3"/>
      <c r="K320" s="3"/>
      <c r="L320" s="1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x14ac:dyDescent="0.25">
      <c r="A321" s="1"/>
      <c r="B321" s="1"/>
      <c r="C321" s="1"/>
      <c r="D321" s="7"/>
      <c r="E321" s="1"/>
      <c r="F321" s="6" t="str">
        <f>структура!$F$9</f>
        <v>народный гараж</v>
      </c>
      <c r="G321" s="1"/>
      <c r="H321" s="1" t="str">
        <f>H319</f>
        <v>тыс.руб.</v>
      </c>
      <c r="I321" s="1"/>
      <c r="J321" s="1"/>
      <c r="K321" s="1"/>
      <c r="L321" s="10"/>
      <c r="M321" s="18">
        <f>SUMPRODUCT(M306:M306,AK316)</f>
        <v>414</v>
      </c>
      <c r="N321" s="18">
        <f>SUMPRODUCT(M306:N306,AJ316:AK316)</f>
        <v>1398</v>
      </c>
      <c r="O321" s="18">
        <f>SUMPRODUCT(M306:O306,AI316:AK316)</f>
        <v>1458</v>
      </c>
      <c r="P321" s="18">
        <f>SUMPRODUCT(M306:P306,AH316:AK316)</f>
        <v>1500</v>
      </c>
      <c r="Q321" s="18">
        <f>SUMPRODUCT(M306:Q306,AG316:AK316)</f>
        <v>1536</v>
      </c>
      <c r="R321" s="18">
        <f>SUMPRODUCT(M306:R306,AF316:AK316)</f>
        <v>1620</v>
      </c>
      <c r="S321" s="18">
        <f>SUMPRODUCT(M306:S306,AE316:AK316)</f>
        <v>1656</v>
      </c>
      <c r="T321" s="18">
        <f>SUMPRODUCT(M306:T306,AD316:AK316)</f>
        <v>1776</v>
      </c>
      <c r="U321" s="18">
        <f>SUMPRODUCT(M306:U306,AC316:AK316)</f>
        <v>1878</v>
      </c>
      <c r="V321" s="18">
        <f>SUMPRODUCT(M306:V306,AB316:AK316)</f>
        <v>1974</v>
      </c>
      <c r="W321" s="18">
        <f>SUMPRODUCT(M306:W306,AA316:AK316)</f>
        <v>2118</v>
      </c>
      <c r="X321" s="18">
        <f>SUMPRODUCT(M306:X306,Z316:AK316)</f>
        <v>2160</v>
      </c>
      <c r="Y321" s="18">
        <f>SUMPRODUCT(M306:Y306,Y316:AK316)</f>
        <v>2178</v>
      </c>
      <c r="Z321" s="18">
        <f>SUMPRODUCT(M306:Z306,X316:AK316)</f>
        <v>2220</v>
      </c>
      <c r="AA321" s="18">
        <f>SUMPRODUCT(M306:AA306,W316:AK316)</f>
        <v>2220</v>
      </c>
      <c r="AB321" s="18">
        <f>SUMPRODUCT(M306:AB306,V316:AK316)</f>
        <v>2256</v>
      </c>
      <c r="AC321" s="18">
        <f>SUMPRODUCT(M306:AC306,U316:AK316)</f>
        <v>2340</v>
      </c>
      <c r="AD321" s="18">
        <f>SUMPRODUCT(M306:AD306,T316:AK316)</f>
        <v>2340</v>
      </c>
      <c r="AE321" s="18">
        <f>SUMPRODUCT(M306:AE306,S316:AK316)</f>
        <v>2340</v>
      </c>
      <c r="AF321" s="18">
        <f>SUMPRODUCT(M306:AF306,R316:AK316)</f>
        <v>2340</v>
      </c>
      <c r="AG321" s="18">
        <f>SUMPRODUCT(M306:AG306,Q316:AK316)</f>
        <v>2340</v>
      </c>
      <c r="AH321" s="18">
        <f>SUMPRODUCT(M306:AH306,P316:AK316)</f>
        <v>2340</v>
      </c>
      <c r="AI321" s="18">
        <f>SUMPRODUCT(M306:AI306,O316:AK316)</f>
        <v>2340</v>
      </c>
      <c r="AJ321" s="18">
        <f>SUMPRODUCT(M306:AJ306,N316:AK316)</f>
        <v>2340</v>
      </c>
      <c r="AK321" s="18">
        <f>SUMPRODUCT(M306:AK306,M316:AK316)</f>
        <v>2340</v>
      </c>
      <c r="AL321" s="1"/>
      <c r="AM321" s="1"/>
    </row>
    <row r="322" spans="1:39" x14ac:dyDescent="0.25">
      <c r="A322" s="1"/>
      <c r="B322" s="1"/>
      <c r="C322" s="1"/>
      <c r="D322" s="7"/>
      <c r="E322" s="1"/>
      <c r="F322" s="6" t="str">
        <f>структура!$F$10</f>
        <v>хозяйственное ведение</v>
      </c>
      <c r="G322" s="1"/>
      <c r="H322" s="1" t="str">
        <f>H319</f>
        <v>тыс.руб.</v>
      </c>
      <c r="I322" s="1"/>
      <c r="J322" s="1"/>
      <c r="K322" s="1"/>
      <c r="L322" s="10"/>
      <c r="M322" s="18">
        <f>SUMPRODUCT(M307:M307,AK317)</f>
        <v>672</v>
      </c>
      <c r="N322" s="18">
        <f>SUMPRODUCT(M307:N307,AJ317:AK317)</f>
        <v>2282</v>
      </c>
      <c r="O322" s="18">
        <f>SUMPRODUCT(M307:O307,AI317:AK317)</f>
        <v>2401</v>
      </c>
      <c r="P322" s="18">
        <f>SUMPRODUCT(M307:P307,AH317:AK317)</f>
        <v>2450</v>
      </c>
      <c r="Q322" s="18">
        <f>SUMPRODUCT(M307:Q307,AG317:AK317)</f>
        <v>2471</v>
      </c>
      <c r="R322" s="18">
        <f>SUMPRODUCT(M307:R307,AF317:AK317)</f>
        <v>2625</v>
      </c>
      <c r="S322" s="18">
        <f>SUMPRODUCT(M307:S307,AE317:AK317)</f>
        <v>2870</v>
      </c>
      <c r="T322" s="18">
        <f>SUMPRODUCT(M307:T307,AD317:AK317)</f>
        <v>2891</v>
      </c>
      <c r="U322" s="18">
        <f>SUMPRODUCT(M307:U307,AC317:AK317)</f>
        <v>2982</v>
      </c>
      <c r="V322" s="18">
        <f>SUMPRODUCT(M307:V307,AB317:AK317)</f>
        <v>3122</v>
      </c>
      <c r="W322" s="18">
        <f>SUMPRODUCT(M307:W307,AA317:AK317)</f>
        <v>3241</v>
      </c>
      <c r="X322" s="18">
        <f>SUMPRODUCT(M307:X307,Z317:AK317)</f>
        <v>3290</v>
      </c>
      <c r="Y322" s="18">
        <f>SUMPRODUCT(M307:Y307,Y317:AK317)</f>
        <v>3311</v>
      </c>
      <c r="Z322" s="18">
        <f>SUMPRODUCT(M307:Z307,X317:AK317)</f>
        <v>3360</v>
      </c>
      <c r="AA322" s="18">
        <f>SUMPRODUCT(M307:AA307,W317:AK317)</f>
        <v>3381</v>
      </c>
      <c r="AB322" s="18">
        <f>SUMPRODUCT(M307:AB307,V317:AK317)</f>
        <v>3472</v>
      </c>
      <c r="AC322" s="18">
        <f>SUMPRODUCT(M307:AC307,U317:AK317)</f>
        <v>3570</v>
      </c>
      <c r="AD322" s="18">
        <f>SUMPRODUCT(M307:AD307,T317:AK317)</f>
        <v>3570</v>
      </c>
      <c r="AE322" s="18">
        <f>SUMPRODUCT(M307:AE307,S317:AK317)</f>
        <v>3570</v>
      </c>
      <c r="AF322" s="18">
        <f>SUMPRODUCT(M307:AF307,R317:AK317)</f>
        <v>3570</v>
      </c>
      <c r="AG322" s="18">
        <f>SUMPRODUCT(M307:AG307,Q317:AK317)</f>
        <v>3570</v>
      </c>
      <c r="AH322" s="18">
        <f>SUMPRODUCT(M307:AH307,P317:AK317)</f>
        <v>3570</v>
      </c>
      <c r="AI322" s="18">
        <f>SUMPRODUCT(M307:AI307,O317:AK317)</f>
        <v>3570</v>
      </c>
      <c r="AJ322" s="18">
        <f>SUMPRODUCT(M307:AJ307,N317:AK317)</f>
        <v>3570</v>
      </c>
      <c r="AK322" s="18">
        <f>SUMPRODUCT(M307:AK307,M317:AK317)</f>
        <v>3570</v>
      </c>
      <c r="AL322" s="1"/>
      <c r="AM322" s="1"/>
    </row>
    <row r="323" spans="1:39" x14ac:dyDescent="0.25">
      <c r="A323" s="1"/>
      <c r="B323" s="1"/>
      <c r="C323" s="1"/>
      <c r="D323" s="7"/>
      <c r="E323" s="1"/>
      <c r="F323" s="1"/>
      <c r="G323" s="1"/>
      <c r="H323" s="1"/>
      <c r="I323" s="1"/>
      <c r="J323" s="1"/>
      <c r="K323" s="1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s="8" customFormat="1" x14ac:dyDescent="0.25">
      <c r="A324" s="7"/>
      <c r="B324" s="7"/>
      <c r="C324" s="7"/>
      <c r="D324" s="7"/>
      <c r="E324" s="7"/>
      <c r="F324" s="7" t="str">
        <f>KPI!$F$86</f>
        <v>%-нт соцсборов с ФОТ коммерческого персонала</v>
      </c>
      <c r="G324" s="7"/>
      <c r="H324" s="7" t="str">
        <f>INDEX(KPI!$H:$H,SUMIFS(KPI!$D:$D,KPI!$F:$F,$F324))</f>
        <v>%</v>
      </c>
      <c r="I324" s="7"/>
      <c r="J324" s="7"/>
      <c r="K324" s="7"/>
      <c r="L324" s="10" t="s">
        <v>10</v>
      </c>
      <c r="M324" s="24">
        <v>0.3</v>
      </c>
      <c r="N324" s="24">
        <v>0.3</v>
      </c>
      <c r="O324" s="24">
        <v>0.3</v>
      </c>
      <c r="P324" s="24">
        <v>0.3</v>
      </c>
      <c r="Q324" s="24">
        <v>0.3</v>
      </c>
      <c r="R324" s="24">
        <v>0.3</v>
      </c>
      <c r="S324" s="24">
        <v>0.3</v>
      </c>
      <c r="T324" s="24">
        <v>0.3</v>
      </c>
      <c r="U324" s="24">
        <v>0.3</v>
      </c>
      <c r="V324" s="24">
        <v>0.27</v>
      </c>
      <c r="W324" s="24">
        <v>0.25</v>
      </c>
      <c r="X324" s="24">
        <v>0.22</v>
      </c>
      <c r="Y324" s="24">
        <v>0.3</v>
      </c>
      <c r="Z324" s="24">
        <v>0.3</v>
      </c>
      <c r="AA324" s="24">
        <v>0.3</v>
      </c>
      <c r="AB324" s="24">
        <v>0.3</v>
      </c>
      <c r="AC324" s="24">
        <v>0.3</v>
      </c>
      <c r="AD324" s="24">
        <v>0.3</v>
      </c>
      <c r="AE324" s="24">
        <v>0.3</v>
      </c>
      <c r="AF324" s="24">
        <v>0.3</v>
      </c>
      <c r="AG324" s="24">
        <v>0.3</v>
      </c>
      <c r="AH324" s="24">
        <v>0.27</v>
      </c>
      <c r="AI324" s="24">
        <v>0.25</v>
      </c>
      <c r="AJ324" s="24">
        <v>0.22</v>
      </c>
      <c r="AK324" s="24">
        <v>0.3</v>
      </c>
      <c r="AL324" s="7"/>
      <c r="AM324" s="7"/>
    </row>
    <row r="325" spans="1:39" x14ac:dyDescent="0.25">
      <c r="A325" s="1"/>
      <c r="B325" s="1"/>
      <c r="C325" s="1"/>
      <c r="D325" s="7"/>
      <c r="E325" s="1"/>
      <c r="F325" s="1"/>
      <c r="G325" s="1"/>
      <c r="H325" s="1"/>
      <c r="I325" s="1"/>
      <c r="J325" s="1"/>
      <c r="K325" s="1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s="8" customFormat="1" x14ac:dyDescent="0.25">
      <c r="A326" s="7"/>
      <c r="B326" s="7"/>
      <c r="C326" s="7"/>
      <c r="D326" s="7"/>
      <c r="E326" s="7"/>
      <c r="F326" s="7" t="str">
        <f>KPI!$F$87</f>
        <v>соцсборы с ФОТ коммерческого персонала</v>
      </c>
      <c r="G326" s="7"/>
      <c r="H326" s="7" t="str">
        <f>INDEX(KPI!$H:$H,SUMIFS(KPI!$D:$D,KPI!$F:$F,$F326))</f>
        <v>тыс.руб.</v>
      </c>
      <c r="I326" s="7"/>
      <c r="J326" s="7"/>
      <c r="K326" s="7"/>
      <c r="L326" s="10"/>
      <c r="M326" s="17">
        <f>M304*M324</f>
        <v>1086</v>
      </c>
      <c r="N326" s="17">
        <f t="shared" ref="N326:AK326" si="172">N304*N324</f>
        <v>1146</v>
      </c>
      <c r="O326" s="17">
        <f t="shared" si="172"/>
        <v>1185</v>
      </c>
      <c r="P326" s="17">
        <f t="shared" si="172"/>
        <v>1185</v>
      </c>
      <c r="Q326" s="17">
        <f t="shared" si="172"/>
        <v>1242</v>
      </c>
      <c r="R326" s="17">
        <f t="shared" si="172"/>
        <v>1347</v>
      </c>
      <c r="S326" s="17">
        <f t="shared" si="172"/>
        <v>1383</v>
      </c>
      <c r="T326" s="17">
        <f t="shared" si="172"/>
        <v>1440</v>
      </c>
      <c r="U326" s="17">
        <f t="shared" si="172"/>
        <v>1500</v>
      </c>
      <c r="V326" s="17">
        <f t="shared" si="172"/>
        <v>1436.4</v>
      </c>
      <c r="W326" s="17">
        <f t="shared" si="172"/>
        <v>1362.5</v>
      </c>
      <c r="X326" s="17">
        <f t="shared" si="172"/>
        <v>1199</v>
      </c>
      <c r="Y326" s="17">
        <f t="shared" si="172"/>
        <v>1674</v>
      </c>
      <c r="Z326" s="17">
        <f t="shared" si="172"/>
        <v>1674</v>
      </c>
      <c r="AA326" s="17">
        <f t="shared" si="172"/>
        <v>1695</v>
      </c>
      <c r="AB326" s="17">
        <f t="shared" si="172"/>
        <v>1773</v>
      </c>
      <c r="AC326" s="17">
        <f t="shared" si="172"/>
        <v>1773</v>
      </c>
      <c r="AD326" s="17">
        <f t="shared" si="172"/>
        <v>1773</v>
      </c>
      <c r="AE326" s="17">
        <f t="shared" si="172"/>
        <v>1773</v>
      </c>
      <c r="AF326" s="17">
        <f t="shared" si="172"/>
        <v>1773</v>
      </c>
      <c r="AG326" s="17">
        <f t="shared" si="172"/>
        <v>1773</v>
      </c>
      <c r="AH326" s="17">
        <f t="shared" si="172"/>
        <v>1595.7</v>
      </c>
      <c r="AI326" s="17">
        <f t="shared" si="172"/>
        <v>1477.5</v>
      </c>
      <c r="AJ326" s="17">
        <f t="shared" si="172"/>
        <v>1300.2</v>
      </c>
      <c r="AK326" s="17">
        <f t="shared" si="172"/>
        <v>1773</v>
      </c>
      <c r="AL326" s="7"/>
      <c r="AM326" s="7"/>
    </row>
    <row r="327" spans="1:39" x14ac:dyDescent="0.25">
      <c r="A327" s="1"/>
      <c r="B327" s="1"/>
      <c r="C327" s="1"/>
      <c r="D327" s="7"/>
      <c r="E327" s="1"/>
      <c r="F327" s="1"/>
      <c r="G327" s="1"/>
      <c r="H327" s="1"/>
      <c r="I327" s="1"/>
      <c r="J327" s="1"/>
      <c r="K327" s="1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5">
      <c r="A328" s="1"/>
      <c r="B328" s="1"/>
      <c r="C328" s="1"/>
      <c r="D328" s="7" t="str">
        <f>структура!$D$19</f>
        <v>Постоянные расходы</v>
      </c>
      <c r="E328" s="1"/>
      <c r="F328" s="1"/>
      <c r="G328" s="1"/>
      <c r="H328" s="1"/>
      <c r="I328" s="1"/>
      <c r="J328" s="1"/>
      <c r="K328" s="1"/>
      <c r="L328" s="1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s="8" customFormat="1" x14ac:dyDescent="0.25">
      <c r="A329" s="7"/>
      <c r="B329" s="7"/>
      <c r="C329" s="7"/>
      <c r="D329" s="7"/>
      <c r="E329" s="7"/>
      <c r="F329" s="7" t="str">
        <f>KPI!$F$72</f>
        <v>кол-во управленческого персонала</v>
      </c>
      <c r="G329" s="7"/>
      <c r="H329" s="7" t="str">
        <f>INDEX(KPI!$H:$H,SUMIFS(KPI!$D:$D,KPI!$F:$F,$F329))</f>
        <v>кол-во</v>
      </c>
      <c r="I329" s="7"/>
      <c r="J329" s="7"/>
      <c r="K329" s="7"/>
      <c r="L329" s="10" t="s">
        <v>10</v>
      </c>
      <c r="M329" s="30">
        <v>78</v>
      </c>
      <c r="N329" s="30">
        <f>M329</f>
        <v>78</v>
      </c>
      <c r="O329" s="30">
        <f t="shared" ref="O329:AK329" si="173">N329</f>
        <v>78</v>
      </c>
      <c r="P329" s="30">
        <f t="shared" si="173"/>
        <v>78</v>
      </c>
      <c r="Q329" s="30">
        <f t="shared" si="173"/>
        <v>78</v>
      </c>
      <c r="R329" s="30">
        <f t="shared" si="173"/>
        <v>78</v>
      </c>
      <c r="S329" s="30">
        <v>81</v>
      </c>
      <c r="T329" s="30">
        <f t="shared" si="173"/>
        <v>81</v>
      </c>
      <c r="U329" s="30">
        <f t="shared" si="173"/>
        <v>81</v>
      </c>
      <c r="V329" s="30">
        <f t="shared" si="173"/>
        <v>81</v>
      </c>
      <c r="W329" s="30">
        <f t="shared" si="173"/>
        <v>81</v>
      </c>
      <c r="X329" s="30">
        <f t="shared" si="173"/>
        <v>81</v>
      </c>
      <c r="Y329" s="30">
        <v>83</v>
      </c>
      <c r="Z329" s="30">
        <f t="shared" si="173"/>
        <v>83</v>
      </c>
      <c r="AA329" s="30">
        <f t="shared" si="173"/>
        <v>83</v>
      </c>
      <c r="AB329" s="30">
        <f t="shared" si="173"/>
        <v>83</v>
      </c>
      <c r="AC329" s="30">
        <f t="shared" si="173"/>
        <v>83</v>
      </c>
      <c r="AD329" s="30">
        <f t="shared" si="173"/>
        <v>83</v>
      </c>
      <c r="AE329" s="30">
        <f t="shared" si="173"/>
        <v>83</v>
      </c>
      <c r="AF329" s="30">
        <f t="shared" si="173"/>
        <v>83</v>
      </c>
      <c r="AG329" s="30">
        <f t="shared" si="173"/>
        <v>83</v>
      </c>
      <c r="AH329" s="30">
        <f t="shared" si="173"/>
        <v>83</v>
      </c>
      <c r="AI329" s="30">
        <f t="shared" si="173"/>
        <v>83</v>
      </c>
      <c r="AJ329" s="30">
        <f t="shared" si="173"/>
        <v>83</v>
      </c>
      <c r="AK329" s="30">
        <f t="shared" si="173"/>
        <v>83</v>
      </c>
      <c r="AL329" s="7"/>
      <c r="AM329" s="7"/>
    </row>
    <row r="330" spans="1:39" x14ac:dyDescent="0.25">
      <c r="A330" s="1"/>
      <c r="B330" s="1"/>
      <c r="C330" s="1"/>
      <c r="D330" s="7"/>
      <c r="E330" s="1"/>
      <c r="F330" s="1"/>
      <c r="G330" s="1"/>
      <c r="H330" s="1"/>
      <c r="I330" s="1"/>
      <c r="J330" s="1"/>
      <c r="K330" s="1"/>
      <c r="L330" s="1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s="8" customFormat="1" x14ac:dyDescent="0.25">
      <c r="A331" s="7"/>
      <c r="B331" s="7"/>
      <c r="C331" s="7"/>
      <c r="D331" s="7"/>
      <c r="E331" s="7"/>
      <c r="F331" s="7" t="str">
        <f>KPI!$F$73</f>
        <v>средний оклад одного управленца</v>
      </c>
      <c r="G331" s="7"/>
      <c r="H331" s="7" t="str">
        <f>INDEX(KPI!$H:$H,SUMIFS(KPI!$D:$D,KPI!$F:$F,$F331))</f>
        <v>тыс.руб.</v>
      </c>
      <c r="I331" s="7"/>
      <c r="J331" s="7"/>
      <c r="K331" s="7"/>
      <c r="L331" s="10" t="s">
        <v>10</v>
      </c>
      <c r="M331" s="30">
        <v>80</v>
      </c>
      <c r="N331" s="30">
        <f>M331</f>
        <v>80</v>
      </c>
      <c r="O331" s="30">
        <f t="shared" ref="O331:AK331" si="174">N331</f>
        <v>80</v>
      </c>
      <c r="P331" s="30">
        <f t="shared" si="174"/>
        <v>80</v>
      </c>
      <c r="Q331" s="30">
        <f t="shared" si="174"/>
        <v>80</v>
      </c>
      <c r="R331" s="30">
        <f t="shared" si="174"/>
        <v>80</v>
      </c>
      <c r="S331" s="30">
        <f t="shared" si="174"/>
        <v>80</v>
      </c>
      <c r="T331" s="30">
        <f t="shared" si="174"/>
        <v>80</v>
      </c>
      <c r="U331" s="30">
        <f t="shared" si="174"/>
        <v>80</v>
      </c>
      <c r="V331" s="30">
        <f t="shared" si="174"/>
        <v>80</v>
      </c>
      <c r="W331" s="30">
        <f t="shared" si="174"/>
        <v>80</v>
      </c>
      <c r="X331" s="30">
        <f t="shared" si="174"/>
        <v>80</v>
      </c>
      <c r="Y331" s="30">
        <v>84</v>
      </c>
      <c r="Z331" s="30">
        <f t="shared" si="174"/>
        <v>84</v>
      </c>
      <c r="AA331" s="30">
        <f t="shared" si="174"/>
        <v>84</v>
      </c>
      <c r="AB331" s="30">
        <f t="shared" si="174"/>
        <v>84</v>
      </c>
      <c r="AC331" s="30">
        <f t="shared" si="174"/>
        <v>84</v>
      </c>
      <c r="AD331" s="30">
        <f t="shared" si="174"/>
        <v>84</v>
      </c>
      <c r="AE331" s="30">
        <f t="shared" si="174"/>
        <v>84</v>
      </c>
      <c r="AF331" s="30">
        <f t="shared" si="174"/>
        <v>84</v>
      </c>
      <c r="AG331" s="30">
        <f t="shared" si="174"/>
        <v>84</v>
      </c>
      <c r="AH331" s="30">
        <f t="shared" si="174"/>
        <v>84</v>
      </c>
      <c r="AI331" s="30">
        <f t="shared" si="174"/>
        <v>84</v>
      </c>
      <c r="AJ331" s="30">
        <f t="shared" si="174"/>
        <v>84</v>
      </c>
      <c r="AK331" s="30">
        <f t="shared" si="174"/>
        <v>84</v>
      </c>
      <c r="AL331" s="7"/>
      <c r="AM331" s="7"/>
    </row>
    <row r="332" spans="1:39" x14ac:dyDescent="0.25">
      <c r="A332" s="1"/>
      <c r="B332" s="1"/>
      <c r="C332" s="1"/>
      <c r="D332" s="7"/>
      <c r="E332" s="1"/>
      <c r="F332" s="1"/>
      <c r="G332" s="1"/>
      <c r="H332" s="1"/>
      <c r="I332" s="1"/>
      <c r="J332" s="1"/>
      <c r="K332" s="1"/>
      <c r="L332" s="1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s="8" customFormat="1" x14ac:dyDescent="0.25">
      <c r="A333" s="7"/>
      <c r="B333" s="7"/>
      <c r="C333" s="7"/>
      <c r="D333" s="27"/>
      <c r="E333" s="7"/>
      <c r="F333" s="27" t="str">
        <f>KPI!$F$74</f>
        <v>ФОТ управленческого персонала</v>
      </c>
      <c r="G333" s="7"/>
      <c r="H333" s="27" t="str">
        <f>INDEX(KPI!$H:$H,SUMIFS(KPI!$D:$D,KPI!$F:$F,$F333))</f>
        <v>тыс.руб.</v>
      </c>
      <c r="I333" s="7"/>
      <c r="J333" s="7"/>
      <c r="K333" s="7"/>
      <c r="L333" s="10"/>
      <c r="M333" s="28">
        <f>M329*M331</f>
        <v>6240</v>
      </c>
      <c r="N333" s="28">
        <f t="shared" ref="N333:AK333" si="175">N329*N331</f>
        <v>6240</v>
      </c>
      <c r="O333" s="28">
        <f t="shared" si="175"/>
        <v>6240</v>
      </c>
      <c r="P333" s="28">
        <f t="shared" si="175"/>
        <v>6240</v>
      </c>
      <c r="Q333" s="28">
        <f t="shared" si="175"/>
        <v>6240</v>
      </c>
      <c r="R333" s="28">
        <f t="shared" si="175"/>
        <v>6240</v>
      </c>
      <c r="S333" s="28">
        <f t="shared" si="175"/>
        <v>6480</v>
      </c>
      <c r="T333" s="28">
        <f t="shared" si="175"/>
        <v>6480</v>
      </c>
      <c r="U333" s="28">
        <f t="shared" si="175"/>
        <v>6480</v>
      </c>
      <c r="V333" s="28">
        <f t="shared" si="175"/>
        <v>6480</v>
      </c>
      <c r="W333" s="28">
        <f t="shared" si="175"/>
        <v>6480</v>
      </c>
      <c r="X333" s="28">
        <f t="shared" si="175"/>
        <v>6480</v>
      </c>
      <c r="Y333" s="28">
        <f t="shared" si="175"/>
        <v>6972</v>
      </c>
      <c r="Z333" s="28">
        <f t="shared" si="175"/>
        <v>6972</v>
      </c>
      <c r="AA333" s="28">
        <f t="shared" si="175"/>
        <v>6972</v>
      </c>
      <c r="AB333" s="28">
        <f t="shared" si="175"/>
        <v>6972</v>
      </c>
      <c r="AC333" s="28">
        <f t="shared" si="175"/>
        <v>6972</v>
      </c>
      <c r="AD333" s="28">
        <f t="shared" si="175"/>
        <v>6972</v>
      </c>
      <c r="AE333" s="28">
        <f t="shared" si="175"/>
        <v>6972</v>
      </c>
      <c r="AF333" s="28">
        <f t="shared" si="175"/>
        <v>6972</v>
      </c>
      <c r="AG333" s="28">
        <f t="shared" si="175"/>
        <v>6972</v>
      </c>
      <c r="AH333" s="28">
        <f t="shared" si="175"/>
        <v>6972</v>
      </c>
      <c r="AI333" s="28">
        <f t="shared" si="175"/>
        <v>6972</v>
      </c>
      <c r="AJ333" s="28">
        <f t="shared" si="175"/>
        <v>6972</v>
      </c>
      <c r="AK333" s="28">
        <f t="shared" si="175"/>
        <v>6972</v>
      </c>
      <c r="AL333" s="7"/>
      <c r="AM333" s="7"/>
    </row>
    <row r="334" spans="1:39" x14ac:dyDescent="0.25">
      <c r="A334" s="1"/>
      <c r="B334" s="1"/>
      <c r="C334" s="1"/>
      <c r="D334" s="7"/>
      <c r="E334" s="1"/>
      <c r="F334" s="1"/>
      <c r="G334" s="1"/>
      <c r="H334" s="1"/>
      <c r="I334" s="1"/>
      <c r="J334" s="1"/>
      <c r="K334" s="1"/>
      <c r="L334" s="1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x14ac:dyDescent="0.25">
      <c r="A335" s="1"/>
      <c r="B335" s="1"/>
      <c r="C335" s="1"/>
      <c r="D335" s="7" t="str">
        <f>структура!$D$15</f>
        <v>Списания ДС</v>
      </c>
      <c r="E335" s="1"/>
      <c r="F335" s="7" t="str">
        <f>KPI!$F$75</f>
        <v>распределение выплат ФОТ управленческого персонала</v>
      </c>
      <c r="G335" s="7"/>
      <c r="H335" s="7" t="str">
        <f>INDEX(KPI!$H:$H,SUMIFS(KPI!$D:$D,KPI!$F:$F,$F335))</f>
        <v>%</v>
      </c>
      <c r="I335" s="1"/>
      <c r="J335" s="1"/>
      <c r="K335" s="1"/>
      <c r="L335" s="10" t="s">
        <v>10</v>
      </c>
      <c r="M335" s="24">
        <v>0.5</v>
      </c>
      <c r="N335" s="24">
        <v>0.5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5">
        <v>0</v>
      </c>
      <c r="AK335" s="26">
        <f>100%-SUM(M335:AJ335)</f>
        <v>0</v>
      </c>
      <c r="AL335" s="1"/>
      <c r="AM335" s="1"/>
    </row>
    <row r="336" spans="1:39" x14ac:dyDescent="0.25">
      <c r="A336" s="1"/>
      <c r="B336" s="1"/>
      <c r="C336" s="1"/>
      <c r="D336" s="7"/>
      <c r="E336" s="1"/>
      <c r="F336" s="1"/>
      <c r="G336" s="1"/>
      <c r="H336" s="1"/>
      <c r="I336" s="1"/>
      <c r="J336" s="1"/>
      <c r="K336" s="1"/>
      <c r="L336" s="1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x14ac:dyDescent="0.25">
      <c r="A337" s="1"/>
      <c r="B337" s="1"/>
      <c r="C337" s="1"/>
      <c r="D337" s="7"/>
      <c r="E337" s="1"/>
      <c r="F337" s="7" t="str">
        <f>KPI!$F$76</f>
        <v>обратное распр-ние выплат ФОТ управленцев</v>
      </c>
      <c r="G337" s="7"/>
      <c r="H337" s="7" t="str">
        <f>INDEX(KPI!$H:$H,SUMIFS(KPI!$D:$D,KPI!$F:$F,$F337))</f>
        <v>%</v>
      </c>
      <c r="I337" s="1"/>
      <c r="J337" s="1"/>
      <c r="K337" s="1"/>
      <c r="L337" s="10"/>
      <c r="M337" s="23">
        <f t="shared" ref="M337:AK337" si="176">SUMIFS(335:335,$1:$1,M$2)</f>
        <v>0</v>
      </c>
      <c r="N337" s="23">
        <f t="shared" si="176"/>
        <v>0</v>
      </c>
      <c r="O337" s="23">
        <f t="shared" si="176"/>
        <v>0</v>
      </c>
      <c r="P337" s="23">
        <f t="shared" si="176"/>
        <v>0</v>
      </c>
      <c r="Q337" s="23">
        <f t="shared" si="176"/>
        <v>0</v>
      </c>
      <c r="R337" s="23">
        <f t="shared" si="176"/>
        <v>0</v>
      </c>
      <c r="S337" s="23">
        <f t="shared" si="176"/>
        <v>0</v>
      </c>
      <c r="T337" s="23">
        <f t="shared" si="176"/>
        <v>0</v>
      </c>
      <c r="U337" s="23">
        <f t="shared" si="176"/>
        <v>0</v>
      </c>
      <c r="V337" s="23">
        <f t="shared" si="176"/>
        <v>0</v>
      </c>
      <c r="W337" s="23">
        <f t="shared" si="176"/>
        <v>0</v>
      </c>
      <c r="X337" s="23">
        <f t="shared" si="176"/>
        <v>0</v>
      </c>
      <c r="Y337" s="23">
        <f t="shared" si="176"/>
        <v>0</v>
      </c>
      <c r="Z337" s="23">
        <f t="shared" si="176"/>
        <v>0</v>
      </c>
      <c r="AA337" s="23">
        <f t="shared" si="176"/>
        <v>0</v>
      </c>
      <c r="AB337" s="23">
        <f t="shared" si="176"/>
        <v>0</v>
      </c>
      <c r="AC337" s="23">
        <f t="shared" si="176"/>
        <v>0</v>
      </c>
      <c r="AD337" s="23">
        <f t="shared" si="176"/>
        <v>0</v>
      </c>
      <c r="AE337" s="23">
        <f t="shared" si="176"/>
        <v>0</v>
      </c>
      <c r="AF337" s="23">
        <f t="shared" si="176"/>
        <v>0</v>
      </c>
      <c r="AG337" s="23">
        <f t="shared" si="176"/>
        <v>0</v>
      </c>
      <c r="AH337" s="23">
        <f t="shared" si="176"/>
        <v>0</v>
      </c>
      <c r="AI337" s="23">
        <f t="shared" si="176"/>
        <v>0</v>
      </c>
      <c r="AJ337" s="23">
        <f t="shared" si="176"/>
        <v>0.5</v>
      </c>
      <c r="AK337" s="23">
        <f t="shared" si="176"/>
        <v>0.5</v>
      </c>
      <c r="AL337" s="1"/>
      <c r="AM337" s="1"/>
    </row>
    <row r="338" spans="1:39" x14ac:dyDescent="0.25">
      <c r="A338" s="1"/>
      <c r="B338" s="1"/>
      <c r="C338" s="1"/>
      <c r="D338" s="7"/>
      <c r="E338" s="1"/>
      <c r="F338" s="1"/>
      <c r="G338" s="1"/>
      <c r="H338" s="1"/>
      <c r="I338" s="1"/>
      <c r="J338" s="1"/>
      <c r="K338" s="1"/>
      <c r="L338" s="1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x14ac:dyDescent="0.25">
      <c r="A339" s="1"/>
      <c r="B339" s="1"/>
      <c r="C339" s="1"/>
      <c r="D339" s="27" t="str">
        <f>структура!$D$16</f>
        <v>CFOut</v>
      </c>
      <c r="E339" s="7"/>
      <c r="F339" s="27" t="str">
        <f>KPI!$F$77</f>
        <v>оплата ФОТ управленческого персонала</v>
      </c>
      <c r="G339" s="7"/>
      <c r="H339" s="27" t="str">
        <f>INDEX(KPI!$H:$H,SUMIFS(KPI!$D:$D,KPI!$F:$F,$F339))</f>
        <v>тыс.руб.</v>
      </c>
      <c r="I339" s="1"/>
      <c r="J339" s="1"/>
      <c r="K339" s="1"/>
      <c r="L339" s="10"/>
      <c r="M339" s="28">
        <f>SUMPRODUCT(M333:M333,AK337)</f>
        <v>3120</v>
      </c>
      <c r="N339" s="28">
        <f>SUMPRODUCT(M333:N333,AJ337:AK337)</f>
        <v>6240</v>
      </c>
      <c r="O339" s="28">
        <f>SUMPRODUCT(M333:O333,AI337:AK337)</f>
        <v>6240</v>
      </c>
      <c r="P339" s="28">
        <f>SUMPRODUCT(M333:P333,AH337:AK337)</f>
        <v>6240</v>
      </c>
      <c r="Q339" s="28">
        <f>SUMPRODUCT(M333:Q333,AG337:AK337)</f>
        <v>6240</v>
      </c>
      <c r="R339" s="28">
        <f>SUMPRODUCT(M333:R333,AF337:AK337)</f>
        <v>6240</v>
      </c>
      <c r="S339" s="28">
        <f>SUMPRODUCT(M333:S333,AE337:AK337)</f>
        <v>6360</v>
      </c>
      <c r="T339" s="28">
        <f>SUMPRODUCT(M333:T333,AD337:AK337)</f>
        <v>6480</v>
      </c>
      <c r="U339" s="28">
        <f>SUMPRODUCT(M333:U333,AC337:AK337)</f>
        <v>6480</v>
      </c>
      <c r="V339" s="28">
        <f>SUMPRODUCT(M333:V333,AB337:AK337)</f>
        <v>6480</v>
      </c>
      <c r="W339" s="28">
        <f>SUMPRODUCT(M333:W333,AA337:AK337)</f>
        <v>6480</v>
      </c>
      <c r="X339" s="28">
        <f>SUMPRODUCT(M333:X333,Z337:AK337)</f>
        <v>6480</v>
      </c>
      <c r="Y339" s="28">
        <f>SUMPRODUCT(M333:Y333,Y337:AK337)</f>
        <v>6726</v>
      </c>
      <c r="Z339" s="28">
        <f>SUMPRODUCT(M333:Z333,X337:AK337)</f>
        <v>6972</v>
      </c>
      <c r="AA339" s="28">
        <f>SUMPRODUCT(M333:AA333,W337:AK337)</f>
        <v>6972</v>
      </c>
      <c r="AB339" s="28">
        <f>SUMPRODUCT(M333:AB333,V337:AK337)</f>
        <v>6972</v>
      </c>
      <c r="AC339" s="28">
        <f>SUMPRODUCT(M333:AC333,U337:AK337)</f>
        <v>6972</v>
      </c>
      <c r="AD339" s="28">
        <f>SUMPRODUCT(M333:AD333,T337:AK337)</f>
        <v>6972</v>
      </c>
      <c r="AE339" s="28">
        <f>SUMPRODUCT(M333:AE333,S337:AK337)</f>
        <v>6972</v>
      </c>
      <c r="AF339" s="28">
        <f>SUMPRODUCT(M333:AF333,R337:AK337)</f>
        <v>6972</v>
      </c>
      <c r="AG339" s="28">
        <f>SUMPRODUCT(M333:AG333,Q337:AK337)</f>
        <v>6972</v>
      </c>
      <c r="AH339" s="28">
        <f>SUMPRODUCT(M333:AH333,P337:AK337)</f>
        <v>6972</v>
      </c>
      <c r="AI339" s="28">
        <f>SUMPRODUCT(M333:AI333,O337:AK337)</f>
        <v>6972</v>
      </c>
      <c r="AJ339" s="28">
        <f>SUMPRODUCT(M333:AJ333,N337:AK337)</f>
        <v>6972</v>
      </c>
      <c r="AK339" s="28">
        <f>SUMPRODUCT(M333:AK333,M337:AK337)</f>
        <v>6972</v>
      </c>
      <c r="AL339" s="1"/>
      <c r="AM339" s="1"/>
    </row>
    <row r="340" spans="1:39" x14ac:dyDescent="0.25">
      <c r="A340" s="1"/>
      <c r="B340" s="1"/>
      <c r="C340" s="1"/>
      <c r="D340" s="7"/>
      <c r="E340" s="1"/>
      <c r="F340" s="1"/>
      <c r="G340" s="1"/>
      <c r="H340" s="1"/>
      <c r="I340" s="1"/>
      <c r="J340" s="1"/>
      <c r="K340" s="1"/>
      <c r="L340" s="1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s="8" customFormat="1" x14ac:dyDescent="0.25">
      <c r="A341" s="7"/>
      <c r="B341" s="7"/>
      <c r="C341" s="7"/>
      <c r="D341" s="7"/>
      <c r="E341" s="7"/>
      <c r="F341" s="7" t="str">
        <f>KPI!$F$78</f>
        <v>%-нт соцсборов с ФОТ управленческого персонала</v>
      </c>
      <c r="G341" s="7"/>
      <c r="H341" s="7" t="str">
        <f>INDEX(KPI!$H:$H,SUMIFS(KPI!$D:$D,KPI!$F:$F,$F341))</f>
        <v>%</v>
      </c>
      <c r="I341" s="7"/>
      <c r="J341" s="7"/>
      <c r="K341" s="7"/>
      <c r="L341" s="10" t="s">
        <v>10</v>
      </c>
      <c r="M341" s="24">
        <v>0.3</v>
      </c>
      <c r="N341" s="24">
        <v>0.3</v>
      </c>
      <c r="O341" s="24">
        <f>N341-1%</f>
        <v>0.28999999999999998</v>
      </c>
      <c r="P341" s="24">
        <f t="shared" ref="P341:X341" si="177">O341-1%</f>
        <v>0.27999999999999997</v>
      </c>
      <c r="Q341" s="24">
        <f t="shared" si="177"/>
        <v>0.26999999999999996</v>
      </c>
      <c r="R341" s="24">
        <f t="shared" si="177"/>
        <v>0.25999999999999995</v>
      </c>
      <c r="S341" s="24">
        <f t="shared" si="177"/>
        <v>0.24999999999999994</v>
      </c>
      <c r="T341" s="24">
        <f t="shared" si="177"/>
        <v>0.23999999999999994</v>
      </c>
      <c r="U341" s="24">
        <f t="shared" si="177"/>
        <v>0.22999999999999993</v>
      </c>
      <c r="V341" s="24">
        <f t="shared" si="177"/>
        <v>0.21999999999999992</v>
      </c>
      <c r="W341" s="24">
        <f t="shared" si="177"/>
        <v>0.20999999999999991</v>
      </c>
      <c r="X341" s="24">
        <f t="shared" si="177"/>
        <v>0.1999999999999999</v>
      </c>
      <c r="Y341" s="24">
        <v>0.3</v>
      </c>
      <c r="Z341" s="24">
        <v>0.3</v>
      </c>
      <c r="AA341" s="24">
        <f>Z341-1%</f>
        <v>0.28999999999999998</v>
      </c>
      <c r="AB341" s="24">
        <f t="shared" ref="AB341:AJ341" si="178">AA341-1%</f>
        <v>0.27999999999999997</v>
      </c>
      <c r="AC341" s="24">
        <f t="shared" si="178"/>
        <v>0.26999999999999996</v>
      </c>
      <c r="AD341" s="24">
        <f t="shared" si="178"/>
        <v>0.25999999999999995</v>
      </c>
      <c r="AE341" s="24">
        <f t="shared" si="178"/>
        <v>0.24999999999999994</v>
      </c>
      <c r="AF341" s="24">
        <f t="shared" si="178"/>
        <v>0.23999999999999994</v>
      </c>
      <c r="AG341" s="24">
        <f t="shared" si="178"/>
        <v>0.22999999999999993</v>
      </c>
      <c r="AH341" s="24">
        <f t="shared" si="178"/>
        <v>0.21999999999999992</v>
      </c>
      <c r="AI341" s="24">
        <f t="shared" si="178"/>
        <v>0.20999999999999991</v>
      </c>
      <c r="AJ341" s="24">
        <f t="shared" si="178"/>
        <v>0.1999999999999999</v>
      </c>
      <c r="AK341" s="24">
        <v>0.3</v>
      </c>
      <c r="AL341" s="7"/>
      <c r="AM341" s="7"/>
    </row>
    <row r="342" spans="1:39" x14ac:dyDescent="0.25">
      <c r="A342" s="1"/>
      <c r="B342" s="1"/>
      <c r="C342" s="1"/>
      <c r="D342" s="7"/>
      <c r="E342" s="1"/>
      <c r="F342" s="1"/>
      <c r="G342" s="1"/>
      <c r="H342" s="1"/>
      <c r="I342" s="1"/>
      <c r="J342" s="1"/>
      <c r="K342" s="1"/>
      <c r="L342" s="1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s="8" customFormat="1" x14ac:dyDescent="0.25">
      <c r="A343" s="7"/>
      <c r="B343" s="7"/>
      <c r="C343" s="7"/>
      <c r="D343" s="7"/>
      <c r="E343" s="7"/>
      <c r="F343" s="7" t="str">
        <f>KPI!$F$79</f>
        <v>соцсборы с ФОТ управленческого персонала</v>
      </c>
      <c r="G343" s="7"/>
      <c r="H343" s="7" t="str">
        <f>INDEX(KPI!$H:$H,SUMIFS(KPI!$D:$D,KPI!$F:$F,$F343))</f>
        <v>тыс.руб.</v>
      </c>
      <c r="I343" s="7"/>
      <c r="J343" s="7"/>
      <c r="K343" s="7"/>
      <c r="L343" s="10"/>
      <c r="M343" s="17">
        <f t="shared" ref="M343:AK343" si="179">M333*M341</f>
        <v>1872</v>
      </c>
      <c r="N343" s="17">
        <f t="shared" si="179"/>
        <v>1872</v>
      </c>
      <c r="O343" s="17">
        <f t="shared" si="179"/>
        <v>1809.6</v>
      </c>
      <c r="P343" s="17">
        <f t="shared" si="179"/>
        <v>1747.1999999999998</v>
      </c>
      <c r="Q343" s="17">
        <f t="shared" si="179"/>
        <v>1684.7999999999997</v>
      </c>
      <c r="R343" s="17">
        <f t="shared" si="179"/>
        <v>1622.3999999999996</v>
      </c>
      <c r="S343" s="17">
        <f t="shared" si="179"/>
        <v>1619.9999999999995</v>
      </c>
      <c r="T343" s="17">
        <f t="shared" si="179"/>
        <v>1555.1999999999996</v>
      </c>
      <c r="U343" s="17">
        <f t="shared" si="179"/>
        <v>1490.3999999999996</v>
      </c>
      <c r="V343" s="17">
        <f t="shared" si="179"/>
        <v>1425.5999999999995</v>
      </c>
      <c r="W343" s="17">
        <f t="shared" si="179"/>
        <v>1360.7999999999995</v>
      </c>
      <c r="X343" s="17">
        <f t="shared" si="179"/>
        <v>1295.9999999999993</v>
      </c>
      <c r="Y343" s="17">
        <f t="shared" si="179"/>
        <v>2091.6</v>
      </c>
      <c r="Z343" s="17">
        <f t="shared" si="179"/>
        <v>2091.6</v>
      </c>
      <c r="AA343" s="17">
        <f t="shared" si="179"/>
        <v>2021.8799999999999</v>
      </c>
      <c r="AB343" s="17">
        <f t="shared" si="179"/>
        <v>1952.1599999999999</v>
      </c>
      <c r="AC343" s="17">
        <f t="shared" si="179"/>
        <v>1882.4399999999998</v>
      </c>
      <c r="AD343" s="17">
        <f t="shared" si="179"/>
        <v>1812.7199999999996</v>
      </c>
      <c r="AE343" s="17">
        <f t="shared" si="179"/>
        <v>1742.9999999999995</v>
      </c>
      <c r="AF343" s="17">
        <f t="shared" si="179"/>
        <v>1673.2799999999995</v>
      </c>
      <c r="AG343" s="17">
        <f t="shared" si="179"/>
        <v>1603.5599999999995</v>
      </c>
      <c r="AH343" s="17">
        <f t="shared" si="179"/>
        <v>1533.8399999999995</v>
      </c>
      <c r="AI343" s="17">
        <f t="shared" si="179"/>
        <v>1464.1199999999994</v>
      </c>
      <c r="AJ343" s="17">
        <f t="shared" si="179"/>
        <v>1394.3999999999994</v>
      </c>
      <c r="AK343" s="17">
        <f t="shared" si="179"/>
        <v>2091.6</v>
      </c>
      <c r="AL343" s="7"/>
      <c r="AM343" s="7"/>
    </row>
    <row r="344" spans="1:39" x14ac:dyDescent="0.25">
      <c r="A344" s="1"/>
      <c r="B344" s="1"/>
      <c r="C344" s="1"/>
      <c r="D344" s="7"/>
      <c r="E344" s="1"/>
      <c r="F344" s="1"/>
      <c r="G344" s="1"/>
      <c r="H344" s="1"/>
      <c r="I344" s="1"/>
      <c r="J344" s="1"/>
      <c r="K344" s="1"/>
      <c r="L344" s="1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s="8" customFormat="1" x14ac:dyDescent="0.25">
      <c r="A345" s="7"/>
      <c r="B345" s="7"/>
      <c r="C345" s="7"/>
      <c r="D345" s="27"/>
      <c r="E345" s="7"/>
      <c r="F345" s="27" t="str">
        <f>KPI!$F$88</f>
        <v>начисление соцсборов</v>
      </c>
      <c r="G345" s="7"/>
      <c r="H345" s="27" t="str">
        <f>INDEX(KPI!$H:$H,SUMIFS(KPI!$D:$D,KPI!$F:$F,$F345))</f>
        <v>тыс.руб.</v>
      </c>
      <c r="I345" s="7"/>
      <c r="J345" s="7"/>
      <c r="K345" s="7"/>
      <c r="L345" s="10"/>
      <c r="M345" s="28">
        <f>M258+M292+M326+M343</f>
        <v>7501.2</v>
      </c>
      <c r="N345" s="28">
        <f t="shared" ref="N345:AK345" si="180">N258+N292+N326+N343</f>
        <v>7829.4</v>
      </c>
      <c r="O345" s="28">
        <f t="shared" si="180"/>
        <v>8033.4</v>
      </c>
      <c r="P345" s="28">
        <f t="shared" si="180"/>
        <v>7992</v>
      </c>
      <c r="Q345" s="28">
        <f t="shared" si="180"/>
        <v>8194.1999999999989</v>
      </c>
      <c r="R345" s="28">
        <f t="shared" si="180"/>
        <v>8625</v>
      </c>
      <c r="S345" s="28">
        <f t="shared" si="180"/>
        <v>8867.4</v>
      </c>
      <c r="T345" s="28">
        <f t="shared" si="180"/>
        <v>9067.1999999999989</v>
      </c>
      <c r="U345" s="28">
        <f t="shared" si="180"/>
        <v>9372.5999999999985</v>
      </c>
      <c r="V345" s="28">
        <f t="shared" si="180"/>
        <v>9638.3999999999978</v>
      </c>
      <c r="W345" s="28">
        <f t="shared" si="180"/>
        <v>9624.5</v>
      </c>
      <c r="X345" s="28">
        <f t="shared" si="180"/>
        <v>9396.1999999999989</v>
      </c>
      <c r="Y345" s="28">
        <f t="shared" si="180"/>
        <v>10831.2</v>
      </c>
      <c r="Z345" s="28">
        <f t="shared" si="180"/>
        <v>10831.2</v>
      </c>
      <c r="AA345" s="28">
        <f t="shared" si="180"/>
        <v>10886.279999999999</v>
      </c>
      <c r="AB345" s="28">
        <f t="shared" si="180"/>
        <v>11183.76</v>
      </c>
      <c r="AC345" s="28">
        <f t="shared" si="180"/>
        <v>11114.04</v>
      </c>
      <c r="AD345" s="28">
        <f t="shared" si="180"/>
        <v>11044.32</v>
      </c>
      <c r="AE345" s="28">
        <f t="shared" si="180"/>
        <v>10974.6</v>
      </c>
      <c r="AF345" s="28">
        <f t="shared" si="180"/>
        <v>10904.88</v>
      </c>
      <c r="AG345" s="28">
        <f t="shared" si="180"/>
        <v>10835.16</v>
      </c>
      <c r="AH345" s="28">
        <f t="shared" si="180"/>
        <v>10588.140000000001</v>
      </c>
      <c r="AI345" s="28">
        <f t="shared" si="180"/>
        <v>10400.219999999999</v>
      </c>
      <c r="AJ345" s="28">
        <f t="shared" si="180"/>
        <v>10153.200000000001</v>
      </c>
      <c r="AK345" s="28">
        <f t="shared" si="180"/>
        <v>11323.2</v>
      </c>
      <c r="AL345" s="7"/>
      <c r="AM345" s="7"/>
    </row>
    <row r="346" spans="1:39" x14ac:dyDescent="0.25">
      <c r="A346" s="1"/>
      <c r="B346" s="1"/>
      <c r="C346" s="1"/>
      <c r="D346" s="7"/>
      <c r="E346" s="1"/>
      <c r="F346" s="1"/>
      <c r="G346" s="1"/>
      <c r="H346" s="1"/>
      <c r="I346" s="1"/>
      <c r="J346" s="1"/>
      <c r="K346" s="1"/>
      <c r="L346" s="1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x14ac:dyDescent="0.25">
      <c r="A347" s="1"/>
      <c r="B347" s="1"/>
      <c r="C347" s="1"/>
      <c r="D347" s="7" t="str">
        <f>структура!$D$15</f>
        <v>Списания ДС</v>
      </c>
      <c r="E347" s="1"/>
      <c r="F347" s="7" t="str">
        <f>KPI!$F$89</f>
        <v>распределение выплат соцсборов</v>
      </c>
      <c r="G347" s="7"/>
      <c r="H347" s="7" t="str">
        <f>INDEX(KPI!$H:$H,SUMIFS(KPI!$D:$D,KPI!$F:$F,$F347))</f>
        <v>%</v>
      </c>
      <c r="I347" s="1"/>
      <c r="J347" s="1"/>
      <c r="K347" s="1"/>
      <c r="L347" s="10" t="s">
        <v>10</v>
      </c>
      <c r="M347" s="24">
        <v>0</v>
      </c>
      <c r="N347" s="24">
        <v>1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  <c r="Y347" s="24">
        <v>0</v>
      </c>
      <c r="Z347" s="24">
        <v>0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5">
        <v>0</v>
      </c>
      <c r="AK347" s="26">
        <f>100%-SUM(M347:AJ347)</f>
        <v>0</v>
      </c>
      <c r="AL347" s="1"/>
      <c r="AM347" s="1"/>
    </row>
    <row r="348" spans="1:39" x14ac:dyDescent="0.25">
      <c r="A348" s="1"/>
      <c r="B348" s="1"/>
      <c r="C348" s="1"/>
      <c r="D348" s="7"/>
      <c r="E348" s="1"/>
      <c r="F348" s="1"/>
      <c r="G348" s="1"/>
      <c r="H348" s="1"/>
      <c r="I348" s="1"/>
      <c r="J348" s="1"/>
      <c r="K348" s="1"/>
      <c r="L348" s="1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x14ac:dyDescent="0.25">
      <c r="A349" s="1"/>
      <c r="B349" s="1"/>
      <c r="C349" s="1"/>
      <c r="D349" s="7"/>
      <c r="E349" s="1"/>
      <c r="F349" s="7" t="str">
        <f>KPI!$F$90</f>
        <v>обратное распр-ние выплат соцсборов</v>
      </c>
      <c r="G349" s="7"/>
      <c r="H349" s="7" t="str">
        <f>INDEX(KPI!$H:$H,SUMIFS(KPI!$D:$D,KPI!$F:$F,$F349))</f>
        <v>%</v>
      </c>
      <c r="I349" s="1"/>
      <c r="J349" s="1"/>
      <c r="K349" s="1"/>
      <c r="L349" s="10"/>
      <c r="M349" s="23">
        <f t="shared" ref="M349:AK349" si="181">SUMIFS(347:347,$1:$1,M$2)</f>
        <v>0</v>
      </c>
      <c r="N349" s="23">
        <f t="shared" si="181"/>
        <v>0</v>
      </c>
      <c r="O349" s="23">
        <f t="shared" si="181"/>
        <v>0</v>
      </c>
      <c r="P349" s="23">
        <f t="shared" si="181"/>
        <v>0</v>
      </c>
      <c r="Q349" s="23">
        <f t="shared" si="181"/>
        <v>0</v>
      </c>
      <c r="R349" s="23">
        <f t="shared" si="181"/>
        <v>0</v>
      </c>
      <c r="S349" s="23">
        <f t="shared" si="181"/>
        <v>0</v>
      </c>
      <c r="T349" s="23">
        <f t="shared" si="181"/>
        <v>0</v>
      </c>
      <c r="U349" s="23">
        <f t="shared" si="181"/>
        <v>0</v>
      </c>
      <c r="V349" s="23">
        <f t="shared" si="181"/>
        <v>0</v>
      </c>
      <c r="W349" s="23">
        <f t="shared" si="181"/>
        <v>0</v>
      </c>
      <c r="X349" s="23">
        <f t="shared" si="181"/>
        <v>0</v>
      </c>
      <c r="Y349" s="23">
        <f t="shared" si="181"/>
        <v>0</v>
      </c>
      <c r="Z349" s="23">
        <f t="shared" si="181"/>
        <v>0</v>
      </c>
      <c r="AA349" s="23">
        <f t="shared" si="181"/>
        <v>0</v>
      </c>
      <c r="AB349" s="23">
        <f t="shared" si="181"/>
        <v>0</v>
      </c>
      <c r="AC349" s="23">
        <f t="shared" si="181"/>
        <v>0</v>
      </c>
      <c r="AD349" s="23">
        <f t="shared" si="181"/>
        <v>0</v>
      </c>
      <c r="AE349" s="23">
        <f t="shared" si="181"/>
        <v>0</v>
      </c>
      <c r="AF349" s="23">
        <f t="shared" si="181"/>
        <v>0</v>
      </c>
      <c r="AG349" s="23">
        <f t="shared" si="181"/>
        <v>0</v>
      </c>
      <c r="AH349" s="23">
        <f t="shared" si="181"/>
        <v>0</v>
      </c>
      <c r="AI349" s="23">
        <f t="shared" si="181"/>
        <v>0</v>
      </c>
      <c r="AJ349" s="23">
        <f t="shared" si="181"/>
        <v>1</v>
      </c>
      <c r="AK349" s="23">
        <f t="shared" si="181"/>
        <v>0</v>
      </c>
      <c r="AL349" s="1"/>
      <c r="AM349" s="1"/>
    </row>
    <row r="350" spans="1:39" x14ac:dyDescent="0.25">
      <c r="A350" s="1"/>
      <c r="B350" s="1"/>
      <c r="C350" s="1"/>
      <c r="D350" s="7"/>
      <c r="E350" s="1"/>
      <c r="F350" s="1"/>
      <c r="G350" s="1"/>
      <c r="H350" s="1"/>
      <c r="I350" s="1"/>
      <c r="J350" s="1"/>
      <c r="K350" s="1"/>
      <c r="L350" s="1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x14ac:dyDescent="0.25">
      <c r="A351" s="1"/>
      <c r="B351" s="1"/>
      <c r="C351" s="1"/>
      <c r="D351" s="27" t="str">
        <f>структура!$D$16</f>
        <v>CFOut</v>
      </c>
      <c r="E351" s="7"/>
      <c r="F351" s="27" t="str">
        <f>KPI!$F$91</f>
        <v>оплата соцсборов</v>
      </c>
      <c r="G351" s="7"/>
      <c r="H351" s="27" t="str">
        <f>INDEX(KPI!$H:$H,SUMIFS(KPI!$D:$D,KPI!$F:$F,$F351))</f>
        <v>тыс.руб.</v>
      </c>
      <c r="I351" s="1"/>
      <c r="J351" s="1"/>
      <c r="K351" s="1"/>
      <c r="L351" s="10"/>
      <c r="M351" s="28">
        <f>SUMPRODUCT(M345:M345,AK349)</f>
        <v>0</v>
      </c>
      <c r="N351" s="28">
        <f>SUMPRODUCT(M345:N345,AJ349:AK349)</f>
        <v>7501.2</v>
      </c>
      <c r="O351" s="28">
        <f>SUMPRODUCT(M345:O345,AI349:AK349)</f>
        <v>7829.4</v>
      </c>
      <c r="P351" s="28">
        <f>SUMPRODUCT(M345:P345,AH349:AK349)</f>
        <v>8033.4</v>
      </c>
      <c r="Q351" s="28">
        <f>SUMPRODUCT(M345:Q345,AG349:AK349)</f>
        <v>7992</v>
      </c>
      <c r="R351" s="28">
        <f>SUMPRODUCT(M345:R345,AF349:AK349)</f>
        <v>8194.1999999999989</v>
      </c>
      <c r="S351" s="28">
        <f>SUMPRODUCT(M345:S345,AE349:AK349)</f>
        <v>8625</v>
      </c>
      <c r="T351" s="28">
        <f>SUMPRODUCT(M345:T345,AD349:AK349)</f>
        <v>8867.4</v>
      </c>
      <c r="U351" s="28">
        <f>SUMPRODUCT(M345:U345,AC349:AK349)</f>
        <v>9067.1999999999989</v>
      </c>
      <c r="V351" s="28">
        <f>SUMPRODUCT(M345:V345,AB349:AK349)</f>
        <v>9372.5999999999985</v>
      </c>
      <c r="W351" s="28">
        <f>SUMPRODUCT(M345:W345,AA349:AK349)</f>
        <v>9638.3999999999978</v>
      </c>
      <c r="X351" s="28">
        <f>SUMPRODUCT(M345:X345,Z349:AK349)</f>
        <v>9624.5</v>
      </c>
      <c r="Y351" s="28">
        <f>SUMPRODUCT(M345:Y345,Y349:AK349)</f>
        <v>9396.1999999999989</v>
      </c>
      <c r="Z351" s="28">
        <f>SUMPRODUCT(M345:Z345,X349:AK349)</f>
        <v>10831.2</v>
      </c>
      <c r="AA351" s="28">
        <f>SUMPRODUCT(M345:AA345,W349:AK349)</f>
        <v>10831.2</v>
      </c>
      <c r="AB351" s="28">
        <f>SUMPRODUCT(M345:AB345,V349:AK349)</f>
        <v>10886.279999999999</v>
      </c>
      <c r="AC351" s="28">
        <f>SUMPRODUCT(M345:AC345,U349:AK349)</f>
        <v>11183.76</v>
      </c>
      <c r="AD351" s="28">
        <f>SUMPRODUCT(M345:AD345,T349:AK349)</f>
        <v>11114.04</v>
      </c>
      <c r="AE351" s="28">
        <f>SUMPRODUCT(M345:AE345,S349:AK349)</f>
        <v>11044.32</v>
      </c>
      <c r="AF351" s="28">
        <f>SUMPRODUCT(M345:AF345,R349:AK349)</f>
        <v>10974.6</v>
      </c>
      <c r="AG351" s="28">
        <f>SUMPRODUCT(M345:AG345,Q349:AK349)</f>
        <v>10904.88</v>
      </c>
      <c r="AH351" s="28">
        <f>SUMPRODUCT(M345:AH345,P349:AK349)</f>
        <v>10835.16</v>
      </c>
      <c r="AI351" s="28">
        <f>SUMPRODUCT(M345:AI345,O349:AK349)</f>
        <v>10588.140000000001</v>
      </c>
      <c r="AJ351" s="28">
        <f>SUMPRODUCT(M345:AJ345,N349:AK349)</f>
        <v>10400.219999999999</v>
      </c>
      <c r="AK351" s="28">
        <f>SUMPRODUCT(M345:AK345,M349:AK349)</f>
        <v>10153.200000000001</v>
      </c>
      <c r="AL351" s="1"/>
      <c r="AM351" s="1"/>
    </row>
    <row r="352" spans="1:39" x14ac:dyDescent="0.25">
      <c r="A352" s="1"/>
      <c r="B352" s="1"/>
      <c r="C352" s="1"/>
      <c r="D352" s="7"/>
      <c r="E352" s="1"/>
      <c r="F352" s="1"/>
      <c r="G352" s="1"/>
      <c r="H352" s="1"/>
      <c r="I352" s="1"/>
      <c r="J352" s="1"/>
      <c r="K352" s="1"/>
      <c r="L352" s="1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s="8" customFormat="1" x14ac:dyDescent="0.25">
      <c r="A353" s="7"/>
      <c r="B353" s="7"/>
      <c r="C353" s="7"/>
      <c r="D353" s="27"/>
      <c r="E353" s="7"/>
      <c r="F353" s="27" t="str">
        <f>KPI!$F$92</f>
        <v>аренда офиса</v>
      </c>
      <c r="G353" s="7"/>
      <c r="H353" s="27" t="str">
        <f>INDEX(KPI!$H:$H,SUMIFS(KPI!$D:$D,KPI!$F:$F,$F353))</f>
        <v>тыс.руб.</v>
      </c>
      <c r="I353" s="7"/>
      <c r="J353" s="7"/>
      <c r="K353" s="7"/>
      <c r="L353" s="10"/>
      <c r="M353" s="28">
        <v>1450</v>
      </c>
      <c r="N353" s="28">
        <v>1450</v>
      </c>
      <c r="O353" s="28">
        <v>1450</v>
      </c>
      <c r="P353" s="28">
        <v>1450</v>
      </c>
      <c r="Q353" s="28">
        <v>1450</v>
      </c>
      <c r="R353" s="28">
        <v>1450</v>
      </c>
      <c r="S353" s="28">
        <v>1450</v>
      </c>
      <c r="T353" s="28">
        <v>1450</v>
      </c>
      <c r="U353" s="28">
        <v>1450</v>
      </c>
      <c r="V353" s="28">
        <v>1450</v>
      </c>
      <c r="W353" s="28">
        <v>1450</v>
      </c>
      <c r="X353" s="28">
        <v>1450</v>
      </c>
      <c r="Y353" s="28">
        <v>1450</v>
      </c>
      <c r="Z353" s="28">
        <v>1450</v>
      </c>
      <c r="AA353" s="28">
        <v>1450</v>
      </c>
      <c r="AB353" s="28">
        <v>1450</v>
      </c>
      <c r="AC353" s="28">
        <v>1450</v>
      </c>
      <c r="AD353" s="28">
        <v>1450</v>
      </c>
      <c r="AE353" s="28">
        <v>1450</v>
      </c>
      <c r="AF353" s="28">
        <v>1450</v>
      </c>
      <c r="AG353" s="28">
        <v>1450</v>
      </c>
      <c r="AH353" s="28">
        <v>1450</v>
      </c>
      <c r="AI353" s="28">
        <v>1450</v>
      </c>
      <c r="AJ353" s="28">
        <v>1450</v>
      </c>
      <c r="AK353" s="28">
        <v>1450</v>
      </c>
      <c r="AL353" s="7"/>
      <c r="AM353" s="7"/>
    </row>
    <row r="354" spans="1:39" x14ac:dyDescent="0.25">
      <c r="A354" s="1"/>
      <c r="B354" s="1"/>
      <c r="C354" s="1"/>
      <c r="D354" s="7"/>
      <c r="E354" s="1"/>
      <c r="F354" s="1"/>
      <c r="G354" s="1"/>
      <c r="H354" s="1"/>
      <c r="I354" s="1"/>
      <c r="J354" s="1"/>
      <c r="K354" s="1"/>
      <c r="L354" s="1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x14ac:dyDescent="0.25">
      <c r="A355" s="1"/>
      <c r="B355" s="1"/>
      <c r="C355" s="1"/>
      <c r="D355" s="7" t="str">
        <f>структура!$D$15</f>
        <v>Списания ДС</v>
      </c>
      <c r="E355" s="1"/>
      <c r="F355" s="7" t="str">
        <f>KPI!$F$93</f>
        <v>распределение оплаты аренды офиса</v>
      </c>
      <c r="G355" s="7"/>
      <c r="H355" s="7" t="str">
        <f>INDEX(KPI!$H:$H,SUMIFS(KPI!$D:$D,KPI!$F:$F,$F355))</f>
        <v>%</v>
      </c>
      <c r="I355" s="1"/>
      <c r="J355" s="1"/>
      <c r="K355" s="1"/>
      <c r="L355" s="10" t="s">
        <v>10</v>
      </c>
      <c r="M355" s="24">
        <v>1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A355" s="24">
        <v>0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5">
        <v>0</v>
      </c>
      <c r="AK355" s="26">
        <f>100%-SUM(M355:AJ355)</f>
        <v>0</v>
      </c>
      <c r="AL355" s="1"/>
      <c r="AM355" s="1"/>
    </row>
    <row r="356" spans="1:39" x14ac:dyDescent="0.25">
      <c r="A356" s="1"/>
      <c r="B356" s="1"/>
      <c r="C356" s="1"/>
      <c r="D356" s="7"/>
      <c r="E356" s="1"/>
      <c r="F356" s="1"/>
      <c r="G356" s="1"/>
      <c r="H356" s="1"/>
      <c r="I356" s="1"/>
      <c r="J356" s="1"/>
      <c r="K356" s="1"/>
      <c r="L356" s="1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x14ac:dyDescent="0.25">
      <c r="A357" s="1"/>
      <c r="B357" s="1"/>
      <c r="C357" s="1"/>
      <c r="D357" s="7"/>
      <c r="E357" s="1"/>
      <c r="F357" s="7" t="str">
        <f>KPI!$F$94</f>
        <v>обратное распр-ние оплат аренды офиса</v>
      </c>
      <c r="G357" s="7"/>
      <c r="H357" s="7" t="str">
        <f>INDEX(KPI!$H:$H,SUMIFS(KPI!$D:$D,KPI!$F:$F,$F357))</f>
        <v>%</v>
      </c>
      <c r="I357" s="1"/>
      <c r="J357" s="1"/>
      <c r="K357" s="1"/>
      <c r="L357" s="10"/>
      <c r="M357" s="23">
        <f t="shared" ref="M357:AK357" si="182">SUMIFS(355:355,$1:$1,M$2)</f>
        <v>0</v>
      </c>
      <c r="N357" s="23">
        <f t="shared" si="182"/>
        <v>0</v>
      </c>
      <c r="O357" s="23">
        <f t="shared" si="182"/>
        <v>0</v>
      </c>
      <c r="P357" s="23">
        <f t="shared" si="182"/>
        <v>0</v>
      </c>
      <c r="Q357" s="23">
        <f t="shared" si="182"/>
        <v>0</v>
      </c>
      <c r="R357" s="23">
        <f t="shared" si="182"/>
        <v>0</v>
      </c>
      <c r="S357" s="23">
        <f t="shared" si="182"/>
        <v>0</v>
      </c>
      <c r="T357" s="23">
        <f t="shared" si="182"/>
        <v>0</v>
      </c>
      <c r="U357" s="23">
        <f t="shared" si="182"/>
        <v>0</v>
      </c>
      <c r="V357" s="23">
        <f t="shared" si="182"/>
        <v>0</v>
      </c>
      <c r="W357" s="23">
        <f t="shared" si="182"/>
        <v>0</v>
      </c>
      <c r="X357" s="23">
        <f t="shared" si="182"/>
        <v>0</v>
      </c>
      <c r="Y357" s="23">
        <f t="shared" si="182"/>
        <v>0</v>
      </c>
      <c r="Z357" s="23">
        <f t="shared" si="182"/>
        <v>0</v>
      </c>
      <c r="AA357" s="23">
        <f t="shared" si="182"/>
        <v>0</v>
      </c>
      <c r="AB357" s="23">
        <f t="shared" si="182"/>
        <v>0</v>
      </c>
      <c r="AC357" s="23">
        <f t="shared" si="182"/>
        <v>0</v>
      </c>
      <c r="AD357" s="23">
        <f t="shared" si="182"/>
        <v>0</v>
      </c>
      <c r="AE357" s="23">
        <f t="shared" si="182"/>
        <v>0</v>
      </c>
      <c r="AF357" s="23">
        <f t="shared" si="182"/>
        <v>0</v>
      </c>
      <c r="AG357" s="23">
        <f t="shared" si="182"/>
        <v>0</v>
      </c>
      <c r="AH357" s="23">
        <f t="shared" si="182"/>
        <v>0</v>
      </c>
      <c r="AI357" s="23">
        <f t="shared" si="182"/>
        <v>0</v>
      </c>
      <c r="AJ357" s="23">
        <f t="shared" si="182"/>
        <v>0</v>
      </c>
      <c r="AK357" s="23">
        <f t="shared" si="182"/>
        <v>1</v>
      </c>
      <c r="AL357" s="1"/>
      <c r="AM357" s="1"/>
    </row>
    <row r="358" spans="1:39" x14ac:dyDescent="0.25">
      <c r="A358" s="1"/>
      <c r="B358" s="1"/>
      <c r="C358" s="1"/>
      <c r="D358" s="7"/>
      <c r="E358" s="1"/>
      <c r="F358" s="1"/>
      <c r="G358" s="1"/>
      <c r="H358" s="1"/>
      <c r="I358" s="1"/>
      <c r="J358" s="1"/>
      <c r="K358" s="1"/>
      <c r="L358" s="1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x14ac:dyDescent="0.25">
      <c r="A359" s="1"/>
      <c r="B359" s="1"/>
      <c r="C359" s="1"/>
      <c r="D359" s="27" t="str">
        <f>структура!$D$16</f>
        <v>CFOut</v>
      </c>
      <c r="E359" s="7"/>
      <c r="F359" s="27" t="str">
        <f>KPI!$F$95</f>
        <v>оплата аренды офиса</v>
      </c>
      <c r="G359" s="7"/>
      <c r="H359" s="27" t="str">
        <f>INDEX(KPI!$H:$H,SUMIFS(KPI!$D:$D,KPI!$F:$F,$F359))</f>
        <v>тыс.руб.</v>
      </c>
      <c r="I359" s="1"/>
      <c r="J359" s="1"/>
      <c r="K359" s="1"/>
      <c r="L359" s="10"/>
      <c r="M359" s="28">
        <f>SUMPRODUCT(M353:M353,AK357)</f>
        <v>1450</v>
      </c>
      <c r="N359" s="28">
        <f>SUMPRODUCT(M353:N353,AJ357:AK357)</f>
        <v>1450</v>
      </c>
      <c r="O359" s="28">
        <f>SUMPRODUCT(M353:O353,AI357:AK357)</f>
        <v>1450</v>
      </c>
      <c r="P359" s="28">
        <f>SUMPRODUCT(M353:P353,AH357:AK357)</f>
        <v>1450</v>
      </c>
      <c r="Q359" s="28">
        <f>SUMPRODUCT(M353:Q353,AG357:AK357)</f>
        <v>1450</v>
      </c>
      <c r="R359" s="28">
        <f>SUMPRODUCT(M353:R353,AF357:AK357)</f>
        <v>1450</v>
      </c>
      <c r="S359" s="28">
        <f>SUMPRODUCT(M353:S353,AE357:AK357)</f>
        <v>1450</v>
      </c>
      <c r="T359" s="28">
        <f>SUMPRODUCT(M353:T353,AD357:AK357)</f>
        <v>1450</v>
      </c>
      <c r="U359" s="28">
        <f>SUMPRODUCT(M353:U353,AC357:AK357)</f>
        <v>1450</v>
      </c>
      <c r="V359" s="28">
        <f>SUMPRODUCT(M353:V353,AB357:AK357)</f>
        <v>1450</v>
      </c>
      <c r="W359" s="28">
        <f>SUMPRODUCT(M353:W353,AA357:AK357)</f>
        <v>1450</v>
      </c>
      <c r="X359" s="28">
        <f>SUMPRODUCT(M353:X353,Z357:AK357)</f>
        <v>1450</v>
      </c>
      <c r="Y359" s="28">
        <f>SUMPRODUCT(M353:Y353,Y357:AK357)</f>
        <v>1450</v>
      </c>
      <c r="Z359" s="28">
        <f>SUMPRODUCT(M353:Z353,X357:AK357)</f>
        <v>1450</v>
      </c>
      <c r="AA359" s="28">
        <f>SUMPRODUCT(M353:AA353,W357:AK357)</f>
        <v>1450</v>
      </c>
      <c r="AB359" s="28">
        <f>SUMPRODUCT(M353:AB353,V357:AK357)</f>
        <v>1450</v>
      </c>
      <c r="AC359" s="28">
        <f>SUMPRODUCT(M353:AC353,U357:AK357)</f>
        <v>1450</v>
      </c>
      <c r="AD359" s="28">
        <f>SUMPRODUCT(M353:AD353,T357:AK357)</f>
        <v>1450</v>
      </c>
      <c r="AE359" s="28">
        <f>SUMPRODUCT(M353:AE353,S357:AK357)</f>
        <v>1450</v>
      </c>
      <c r="AF359" s="28">
        <f>SUMPRODUCT(M353:AF353,R357:AK357)</f>
        <v>1450</v>
      </c>
      <c r="AG359" s="28">
        <f>SUMPRODUCT(M353:AG353,Q357:AK357)</f>
        <v>1450</v>
      </c>
      <c r="AH359" s="28">
        <f>SUMPRODUCT(M353:AH353,P357:AK357)</f>
        <v>1450</v>
      </c>
      <c r="AI359" s="28">
        <f>SUMPRODUCT(M353:AI353,O357:AK357)</f>
        <v>1450</v>
      </c>
      <c r="AJ359" s="28">
        <f>SUMPRODUCT(M353:AJ353,N357:AK357)</f>
        <v>1450</v>
      </c>
      <c r="AK359" s="28">
        <f>SUMPRODUCT(M353:AK353,M357:AK357)</f>
        <v>1450</v>
      </c>
      <c r="AL359" s="1"/>
      <c r="AM359" s="1"/>
    </row>
    <row r="360" spans="1:39" x14ac:dyDescent="0.25">
      <c r="A360" s="1"/>
      <c r="B360" s="1"/>
      <c r="C360" s="1"/>
      <c r="D360" s="7"/>
      <c r="E360" s="1"/>
      <c r="F360" s="1"/>
      <c r="G360" s="1"/>
      <c r="H360" s="1"/>
      <c r="I360" s="1"/>
      <c r="J360" s="1"/>
      <c r="K360" s="1"/>
      <c r="L360" s="1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s="8" customFormat="1" x14ac:dyDescent="0.25">
      <c r="A361" s="7"/>
      <c r="B361" s="7"/>
      <c r="C361" s="7"/>
      <c r="D361" s="27"/>
      <c r="E361" s="7"/>
      <c r="F361" s="27" t="str">
        <f>KPI!$F$96</f>
        <v>прочие постоянные расходы</v>
      </c>
      <c r="G361" s="7"/>
      <c r="H361" s="27" t="str">
        <f>INDEX(KPI!$H:$H,SUMIFS(KPI!$D:$D,KPI!$F:$F,$F361))</f>
        <v>тыс.руб.</v>
      </c>
      <c r="I361" s="7"/>
      <c r="J361" s="7"/>
      <c r="K361" s="7"/>
      <c r="L361" s="10"/>
      <c r="M361" s="28">
        <v>980</v>
      </c>
      <c r="N361" s="28">
        <v>980</v>
      </c>
      <c r="O361" s="28">
        <v>980</v>
      </c>
      <c r="P361" s="28">
        <v>980</v>
      </c>
      <c r="Q361" s="28">
        <v>980</v>
      </c>
      <c r="R361" s="28">
        <v>980</v>
      </c>
      <c r="S361" s="28">
        <v>980</v>
      </c>
      <c r="T361" s="28">
        <v>980</v>
      </c>
      <c r="U361" s="28">
        <v>980</v>
      </c>
      <c r="V361" s="28">
        <v>980</v>
      </c>
      <c r="W361" s="28">
        <v>980</v>
      </c>
      <c r="X361" s="28">
        <v>980</v>
      </c>
      <c r="Y361" s="28">
        <v>980</v>
      </c>
      <c r="Z361" s="28">
        <v>980</v>
      </c>
      <c r="AA361" s="28">
        <v>980</v>
      </c>
      <c r="AB361" s="28">
        <v>980</v>
      </c>
      <c r="AC361" s="28">
        <v>980</v>
      </c>
      <c r="AD361" s="28">
        <v>980</v>
      </c>
      <c r="AE361" s="28">
        <v>980</v>
      </c>
      <c r="AF361" s="28">
        <v>980</v>
      </c>
      <c r="AG361" s="28">
        <v>980</v>
      </c>
      <c r="AH361" s="28">
        <v>980</v>
      </c>
      <c r="AI361" s="28">
        <v>980</v>
      </c>
      <c r="AJ361" s="28">
        <v>980</v>
      </c>
      <c r="AK361" s="28">
        <v>980</v>
      </c>
      <c r="AL361" s="7"/>
      <c r="AM361" s="7"/>
    </row>
    <row r="362" spans="1:39" x14ac:dyDescent="0.25">
      <c r="A362" s="1"/>
      <c r="B362" s="1"/>
      <c r="C362" s="1"/>
      <c r="D362" s="7"/>
      <c r="E362" s="1"/>
      <c r="F362" s="1"/>
      <c r="G362" s="1"/>
      <c r="H362" s="1"/>
      <c r="I362" s="1"/>
      <c r="J362" s="1"/>
      <c r="K362" s="1"/>
      <c r="L362" s="1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x14ac:dyDescent="0.25">
      <c r="A363" s="1"/>
      <c r="B363" s="1"/>
      <c r="C363" s="1"/>
      <c r="D363" s="7" t="str">
        <f>структура!$D$15</f>
        <v>Списания ДС</v>
      </c>
      <c r="E363" s="1"/>
      <c r="F363" s="7" t="str">
        <f>KPI!$F$97</f>
        <v>распределение оплаты прочих постоянных расходов</v>
      </c>
      <c r="G363" s="7"/>
      <c r="H363" s="7" t="str">
        <f>INDEX(KPI!$H:$H,SUMIFS(KPI!$D:$D,KPI!$F:$F,$F363))</f>
        <v>%</v>
      </c>
      <c r="I363" s="1"/>
      <c r="J363" s="1"/>
      <c r="K363" s="1"/>
      <c r="L363" s="10" t="s">
        <v>10</v>
      </c>
      <c r="M363" s="24">
        <v>0.5</v>
      </c>
      <c r="N363" s="24">
        <v>0.5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0</v>
      </c>
      <c r="Z363" s="24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5">
        <v>0</v>
      </c>
      <c r="AK363" s="26">
        <f>100%-SUM(M363:AJ363)</f>
        <v>0</v>
      </c>
      <c r="AL363" s="1"/>
      <c r="AM363" s="1"/>
    </row>
    <row r="364" spans="1:39" x14ac:dyDescent="0.25">
      <c r="A364" s="1"/>
      <c r="B364" s="1"/>
      <c r="C364" s="1"/>
      <c r="D364" s="7"/>
      <c r="E364" s="1"/>
      <c r="F364" s="1"/>
      <c r="G364" s="1"/>
      <c r="H364" s="1"/>
      <c r="I364" s="1"/>
      <c r="J364" s="1"/>
      <c r="K364" s="1"/>
      <c r="L364" s="1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x14ac:dyDescent="0.25">
      <c r="A365" s="1"/>
      <c r="B365" s="1"/>
      <c r="C365" s="1"/>
      <c r="D365" s="7"/>
      <c r="E365" s="1"/>
      <c r="F365" s="7" t="str">
        <f>KPI!$F$98</f>
        <v>обратное распр-ние оплат прочих постоянных расходов</v>
      </c>
      <c r="G365" s="7"/>
      <c r="H365" s="7" t="str">
        <f>INDEX(KPI!$H:$H,SUMIFS(KPI!$D:$D,KPI!$F:$F,$F365))</f>
        <v>%</v>
      </c>
      <c r="I365" s="1"/>
      <c r="J365" s="1"/>
      <c r="K365" s="1"/>
      <c r="L365" s="10"/>
      <c r="M365" s="23">
        <f t="shared" ref="M365:AK365" si="183">SUMIFS(363:363,$1:$1,M$2)</f>
        <v>0</v>
      </c>
      <c r="N365" s="23">
        <f t="shared" si="183"/>
        <v>0</v>
      </c>
      <c r="O365" s="23">
        <f t="shared" si="183"/>
        <v>0</v>
      </c>
      <c r="P365" s="23">
        <f t="shared" si="183"/>
        <v>0</v>
      </c>
      <c r="Q365" s="23">
        <f t="shared" si="183"/>
        <v>0</v>
      </c>
      <c r="R365" s="23">
        <f t="shared" si="183"/>
        <v>0</v>
      </c>
      <c r="S365" s="23">
        <f t="shared" si="183"/>
        <v>0</v>
      </c>
      <c r="T365" s="23">
        <f t="shared" si="183"/>
        <v>0</v>
      </c>
      <c r="U365" s="23">
        <f t="shared" si="183"/>
        <v>0</v>
      </c>
      <c r="V365" s="23">
        <f t="shared" si="183"/>
        <v>0</v>
      </c>
      <c r="W365" s="23">
        <f t="shared" si="183"/>
        <v>0</v>
      </c>
      <c r="X365" s="23">
        <f t="shared" si="183"/>
        <v>0</v>
      </c>
      <c r="Y365" s="23">
        <f t="shared" si="183"/>
        <v>0</v>
      </c>
      <c r="Z365" s="23">
        <f t="shared" si="183"/>
        <v>0</v>
      </c>
      <c r="AA365" s="23">
        <f t="shared" si="183"/>
        <v>0</v>
      </c>
      <c r="AB365" s="23">
        <f t="shared" si="183"/>
        <v>0</v>
      </c>
      <c r="AC365" s="23">
        <f t="shared" si="183"/>
        <v>0</v>
      </c>
      <c r="AD365" s="23">
        <f t="shared" si="183"/>
        <v>0</v>
      </c>
      <c r="AE365" s="23">
        <f t="shared" si="183"/>
        <v>0</v>
      </c>
      <c r="AF365" s="23">
        <f t="shared" si="183"/>
        <v>0</v>
      </c>
      <c r="AG365" s="23">
        <f t="shared" si="183"/>
        <v>0</v>
      </c>
      <c r="AH365" s="23">
        <f t="shared" si="183"/>
        <v>0</v>
      </c>
      <c r="AI365" s="23">
        <f t="shared" si="183"/>
        <v>0</v>
      </c>
      <c r="AJ365" s="23">
        <f t="shared" si="183"/>
        <v>0.5</v>
      </c>
      <c r="AK365" s="23">
        <f t="shared" si="183"/>
        <v>0.5</v>
      </c>
      <c r="AL365" s="1"/>
      <c r="AM365" s="1"/>
    </row>
    <row r="366" spans="1:39" x14ac:dyDescent="0.25">
      <c r="A366" s="1"/>
      <c r="B366" s="1"/>
      <c r="C366" s="1"/>
      <c r="D366" s="7"/>
      <c r="E366" s="1"/>
      <c r="F366" s="1"/>
      <c r="G366" s="1"/>
      <c r="H366" s="1"/>
      <c r="I366" s="1"/>
      <c r="J366" s="1"/>
      <c r="K366" s="1"/>
      <c r="L366" s="1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x14ac:dyDescent="0.25">
      <c r="A367" s="1"/>
      <c r="B367" s="1"/>
      <c r="C367" s="1"/>
      <c r="D367" s="27" t="str">
        <f>структура!$D$16</f>
        <v>CFOut</v>
      </c>
      <c r="E367" s="7"/>
      <c r="F367" s="27" t="str">
        <f>KPI!$F$99</f>
        <v>оплата прочих постоянных расходов</v>
      </c>
      <c r="G367" s="7"/>
      <c r="H367" s="27" t="str">
        <f>INDEX(KPI!$H:$H,SUMIFS(KPI!$D:$D,KPI!$F:$F,$F367))</f>
        <v>тыс.руб.</v>
      </c>
      <c r="I367" s="1"/>
      <c r="J367" s="1"/>
      <c r="K367" s="1"/>
      <c r="L367" s="10"/>
      <c r="M367" s="28">
        <f>SUMPRODUCT(M361:M361,AK365)</f>
        <v>490</v>
      </c>
      <c r="N367" s="28">
        <f>SUMPRODUCT(M361:N361,AJ365:AK365)</f>
        <v>980</v>
      </c>
      <c r="O367" s="28">
        <f>SUMPRODUCT(M361:O361,AI365:AK365)</f>
        <v>980</v>
      </c>
      <c r="P367" s="28">
        <f>SUMPRODUCT(M361:P361,AH365:AK365)</f>
        <v>980</v>
      </c>
      <c r="Q367" s="28">
        <f>SUMPRODUCT(M361:Q361,AG365:AK365)</f>
        <v>980</v>
      </c>
      <c r="R367" s="28">
        <f>SUMPRODUCT(M361:R361,AF365:AK365)</f>
        <v>980</v>
      </c>
      <c r="S367" s="28">
        <f>SUMPRODUCT(M361:S361,AE365:AK365)</f>
        <v>980</v>
      </c>
      <c r="T367" s="28">
        <f>SUMPRODUCT(M361:T361,AD365:AK365)</f>
        <v>980</v>
      </c>
      <c r="U367" s="28">
        <f>SUMPRODUCT(M361:U361,AC365:AK365)</f>
        <v>980</v>
      </c>
      <c r="V367" s="28">
        <f>SUMPRODUCT(M361:V361,AB365:AK365)</f>
        <v>980</v>
      </c>
      <c r="W367" s="28">
        <f>SUMPRODUCT(M361:W361,AA365:AK365)</f>
        <v>980</v>
      </c>
      <c r="X367" s="28">
        <f>SUMPRODUCT(M361:X361,Z365:AK365)</f>
        <v>980</v>
      </c>
      <c r="Y367" s="28">
        <f>SUMPRODUCT(M361:Y361,Y365:AK365)</f>
        <v>980</v>
      </c>
      <c r="Z367" s="28">
        <f>SUMPRODUCT(M361:Z361,X365:AK365)</f>
        <v>980</v>
      </c>
      <c r="AA367" s="28">
        <f>SUMPRODUCT(M361:AA361,W365:AK365)</f>
        <v>980</v>
      </c>
      <c r="AB367" s="28">
        <f>SUMPRODUCT(M361:AB361,V365:AK365)</f>
        <v>980</v>
      </c>
      <c r="AC367" s="28">
        <f>SUMPRODUCT(M361:AC361,U365:AK365)</f>
        <v>980</v>
      </c>
      <c r="AD367" s="28">
        <f>SUMPRODUCT(M361:AD361,T365:AK365)</f>
        <v>980</v>
      </c>
      <c r="AE367" s="28">
        <f>SUMPRODUCT(M361:AE361,S365:AK365)</f>
        <v>980</v>
      </c>
      <c r="AF367" s="28">
        <f>SUMPRODUCT(M361:AF361,R365:AK365)</f>
        <v>980</v>
      </c>
      <c r="AG367" s="28">
        <f>SUMPRODUCT(M361:AG361,Q365:AK365)</f>
        <v>980</v>
      </c>
      <c r="AH367" s="28">
        <f>SUMPRODUCT(M361:AH361,P365:AK365)</f>
        <v>980</v>
      </c>
      <c r="AI367" s="28">
        <f>SUMPRODUCT(M361:AI361,O365:AK365)</f>
        <v>980</v>
      </c>
      <c r="AJ367" s="28">
        <f>SUMPRODUCT(M361:AJ361,N365:AK365)</f>
        <v>980</v>
      </c>
      <c r="AK367" s="28">
        <f>SUMPRODUCT(M361:AK361,M365:AK365)</f>
        <v>980</v>
      </c>
      <c r="AL367" s="1"/>
      <c r="AM367" s="1"/>
    </row>
    <row r="368" spans="1:39" x14ac:dyDescent="0.25">
      <c r="A368" s="1"/>
      <c r="B368" s="1"/>
      <c r="C368" s="1"/>
      <c r="D368" s="7"/>
      <c r="E368" s="1"/>
      <c r="F368" s="1"/>
      <c r="G368" s="1"/>
      <c r="H368" s="1"/>
      <c r="I368" s="1"/>
      <c r="J368" s="1"/>
      <c r="K368" s="1"/>
      <c r="L368" s="1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x14ac:dyDescent="0.25">
      <c r="A369" s="1"/>
      <c r="B369" s="1"/>
      <c r="C369" s="1"/>
      <c r="D369" s="7"/>
      <c r="E369" s="1"/>
      <c r="F369" s="7" t="str">
        <f>KPI!$F$100</f>
        <v>ставка налога на прибыль</v>
      </c>
      <c r="G369" s="7"/>
      <c r="H369" s="7" t="str">
        <f>INDEX(KPI!$H:$H,SUMIFS(KPI!$D:$D,KPI!$F:$F,$F369))</f>
        <v>%</v>
      </c>
      <c r="I369" s="1"/>
      <c r="J369" s="1"/>
      <c r="K369" s="1"/>
      <c r="L369" s="10" t="s">
        <v>10</v>
      </c>
      <c r="M369" s="24">
        <v>0.2</v>
      </c>
      <c r="N369" s="24">
        <v>0.2</v>
      </c>
      <c r="O369" s="24">
        <v>0.2</v>
      </c>
      <c r="P369" s="24">
        <v>0.2</v>
      </c>
      <c r="Q369" s="24">
        <v>0.2</v>
      </c>
      <c r="R369" s="24">
        <v>0.2</v>
      </c>
      <c r="S369" s="24">
        <v>0.2</v>
      </c>
      <c r="T369" s="24">
        <v>0.2</v>
      </c>
      <c r="U369" s="24">
        <v>0.2</v>
      </c>
      <c r="V369" s="24">
        <v>0.2</v>
      </c>
      <c r="W369" s="24">
        <v>0.2</v>
      </c>
      <c r="X369" s="24">
        <v>0.2</v>
      </c>
      <c r="Y369" s="24">
        <v>0.2</v>
      </c>
      <c r="Z369" s="24">
        <v>0.2</v>
      </c>
      <c r="AA369" s="24">
        <v>0.2</v>
      </c>
      <c r="AB369" s="24">
        <v>0.2</v>
      </c>
      <c r="AC369" s="24">
        <v>0.2</v>
      </c>
      <c r="AD369" s="24">
        <v>0.2</v>
      </c>
      <c r="AE369" s="24">
        <v>0.2</v>
      </c>
      <c r="AF369" s="24">
        <v>0.2</v>
      </c>
      <c r="AG369" s="24">
        <v>0.2</v>
      </c>
      <c r="AH369" s="24">
        <v>0.2</v>
      </c>
      <c r="AI369" s="24">
        <v>0.2</v>
      </c>
      <c r="AJ369" s="24">
        <v>0.2</v>
      </c>
      <c r="AK369" s="24">
        <v>0.2</v>
      </c>
      <c r="AL369" s="1"/>
      <c r="AM369" s="1"/>
    </row>
    <row r="370" spans="1:39" x14ac:dyDescent="0.25">
      <c r="A370" s="1"/>
      <c r="B370" s="1"/>
      <c r="C370" s="1"/>
      <c r="D370" s="7"/>
      <c r="E370" s="1"/>
      <c r="F370" s="1"/>
      <c r="G370" s="1"/>
      <c r="H370" s="1"/>
      <c r="I370" s="1"/>
      <c r="J370" s="1"/>
      <c r="K370" s="1"/>
      <c r="L370" s="1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x14ac:dyDescent="0.25">
      <c r="A371" s="1"/>
      <c r="B371" s="1"/>
      <c r="C371" s="1"/>
      <c r="D371" s="7"/>
      <c r="E371" s="1"/>
      <c r="F371" s="1"/>
      <c r="G371" s="1"/>
      <c r="H371" s="1"/>
      <c r="I371" s="1"/>
      <c r="J371" s="1"/>
      <c r="K371" s="1"/>
      <c r="L371" s="1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x14ac:dyDescent="0.25">
      <c r="A372" s="1"/>
      <c r="B372" s="1"/>
      <c r="C372" s="1"/>
      <c r="D372" s="7"/>
      <c r="E372" s="1"/>
      <c r="F372" s="1"/>
      <c r="G372" s="1"/>
      <c r="H372" s="1"/>
      <c r="I372" s="1"/>
      <c r="J372" s="1"/>
      <c r="K372" s="1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x14ac:dyDescent="0.25">
      <c r="A373" s="1"/>
      <c r="B373" s="1"/>
      <c r="C373" s="1"/>
      <c r="D373" s="7"/>
      <c r="E373" s="1"/>
      <c r="F373" s="1"/>
      <c r="G373" s="1"/>
      <c r="H373" s="1"/>
      <c r="I373" s="1"/>
      <c r="J373" s="1"/>
      <c r="K373" s="1"/>
      <c r="L373" s="1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x14ac:dyDescent="0.25">
      <c r="A374" s="1"/>
      <c r="B374" s="1"/>
      <c r="C374" s="1"/>
      <c r="D374" s="7"/>
      <c r="E374" s="1"/>
      <c r="F374" s="1"/>
      <c r="G374" s="1"/>
      <c r="H374" s="1"/>
      <c r="I374" s="1"/>
      <c r="J374" s="1"/>
      <c r="K374" s="1"/>
      <c r="L374" s="1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x14ac:dyDescent="0.25">
      <c r="A375" s="1"/>
      <c r="B375" s="1"/>
      <c r="C375" s="1"/>
      <c r="D375" s="7"/>
      <c r="E375" s="1"/>
      <c r="F375" s="1"/>
      <c r="G375" s="1"/>
      <c r="H375" s="1"/>
      <c r="I375" s="1"/>
      <c r="J375" s="1"/>
      <c r="K375" s="1"/>
      <c r="L375" s="1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x14ac:dyDescent="0.25">
      <c r="A376" s="1"/>
      <c r="B376" s="1"/>
      <c r="C376" s="1"/>
      <c r="D376" s="7"/>
      <c r="E376" s="1"/>
      <c r="F376" s="1"/>
      <c r="G376" s="1"/>
      <c r="H376" s="1"/>
      <c r="I376" s="1"/>
      <c r="J376" s="1"/>
      <c r="K376" s="1"/>
      <c r="L376" s="1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x14ac:dyDescent="0.25">
      <c r="A377" s="1"/>
      <c r="B377" s="1"/>
      <c r="C377" s="1"/>
      <c r="D377" s="7"/>
      <c r="E377" s="1"/>
      <c r="F377" s="1"/>
      <c r="G377" s="1"/>
      <c r="H377" s="1"/>
      <c r="I377" s="1"/>
      <c r="J377" s="1"/>
      <c r="K377" s="1"/>
      <c r="L377" s="1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x14ac:dyDescent="0.25">
      <c r="A378" s="1"/>
      <c r="B378" s="1"/>
      <c r="C378" s="1"/>
      <c r="D378" s="7"/>
      <c r="E378" s="1"/>
      <c r="F378" s="1"/>
      <c r="G378" s="1"/>
      <c r="H378" s="1"/>
      <c r="I378" s="1"/>
      <c r="J378" s="1"/>
      <c r="K378" s="1"/>
      <c r="L378" s="1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x14ac:dyDescent="0.25">
      <c r="A379" s="1"/>
      <c r="B379" s="1"/>
      <c r="C379" s="1"/>
      <c r="D379" s="7"/>
      <c r="E379" s="1"/>
      <c r="F379" s="1"/>
      <c r="G379" s="1"/>
      <c r="H379" s="1"/>
      <c r="I379" s="1"/>
      <c r="J379" s="1"/>
      <c r="K379" s="1"/>
      <c r="L379" s="1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x14ac:dyDescent="0.25">
      <c r="A380" s="1"/>
      <c r="B380" s="1"/>
      <c r="C380" s="1"/>
      <c r="D380" s="7"/>
      <c r="E380" s="1"/>
      <c r="F380" s="1"/>
      <c r="G380" s="1"/>
      <c r="H380" s="1"/>
      <c r="I380" s="1"/>
      <c r="J380" s="1"/>
      <c r="K380" s="1"/>
      <c r="L380" s="1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x14ac:dyDescent="0.25">
      <c r="A381" s="1"/>
      <c r="B381" s="1"/>
      <c r="C381" s="1"/>
      <c r="D381" s="7"/>
      <c r="E381" s="1"/>
      <c r="F381" s="1"/>
      <c r="G381" s="1"/>
      <c r="H381" s="1"/>
      <c r="I381" s="1"/>
      <c r="J381" s="1"/>
      <c r="K381" s="1"/>
      <c r="L381" s="1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x14ac:dyDescent="0.25">
      <c r="A382" s="1"/>
      <c r="B382" s="1"/>
      <c r="C382" s="1"/>
      <c r="D382" s="7"/>
      <c r="E382" s="1"/>
      <c r="F382" s="1"/>
      <c r="G382" s="1"/>
      <c r="H382" s="1"/>
      <c r="I382" s="1"/>
      <c r="J382" s="1"/>
      <c r="K382" s="1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x14ac:dyDescent="0.25">
      <c r="A383" s="1"/>
      <c r="B383" s="1"/>
      <c r="C383" s="1"/>
      <c r="D383" s="7"/>
      <c r="E383" s="1"/>
      <c r="F383" s="1"/>
      <c r="G383" s="1"/>
      <c r="H383" s="1"/>
      <c r="I383" s="1"/>
      <c r="J383" s="1"/>
      <c r="K383" s="1"/>
      <c r="L383" s="1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x14ac:dyDescent="0.25">
      <c r="A384" s="1"/>
      <c r="B384" s="1"/>
      <c r="C384" s="1"/>
      <c r="D384" s="7"/>
      <c r="E384" s="1"/>
      <c r="F384" s="1"/>
      <c r="G384" s="1"/>
      <c r="H384" s="1"/>
      <c r="I384" s="1"/>
      <c r="J384" s="1"/>
      <c r="K384" s="1"/>
      <c r="L384" s="1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x14ac:dyDescent="0.25">
      <c r="A385" s="1"/>
      <c r="B385" s="1"/>
      <c r="C385" s="1"/>
      <c r="D385" s="7"/>
      <c r="E385" s="1"/>
      <c r="F385" s="1"/>
      <c r="G385" s="1"/>
      <c r="H385" s="1"/>
      <c r="I385" s="1"/>
      <c r="J385" s="1"/>
      <c r="K385" s="1"/>
      <c r="L385" s="1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x14ac:dyDescent="0.25">
      <c r="A386" s="1"/>
      <c r="B386" s="1"/>
      <c r="C386" s="1"/>
      <c r="D386" s="7"/>
      <c r="E386" s="1"/>
      <c r="F386" s="1"/>
      <c r="G386" s="1"/>
      <c r="H386" s="1"/>
      <c r="I386" s="1"/>
      <c r="J386" s="1"/>
      <c r="K386" s="1"/>
      <c r="L386" s="1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x14ac:dyDescent="0.25">
      <c r="A387" s="1"/>
      <c r="B387" s="1"/>
      <c r="C387" s="1"/>
      <c r="D387" s="7"/>
      <c r="E387" s="1"/>
      <c r="F387" s="1"/>
      <c r="G387" s="1"/>
      <c r="H387" s="1"/>
      <c r="I387" s="1"/>
      <c r="J387" s="1"/>
      <c r="K387" s="1"/>
      <c r="L387" s="1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x14ac:dyDescent="0.25">
      <c r="A388" s="1"/>
      <c r="B388" s="1"/>
      <c r="C388" s="1"/>
      <c r="D388" s="7"/>
      <c r="E388" s="1"/>
      <c r="F388" s="1"/>
      <c r="G388" s="1"/>
      <c r="H388" s="1"/>
      <c r="I388" s="1"/>
      <c r="J388" s="1"/>
      <c r="K388" s="1"/>
      <c r="L388" s="1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x14ac:dyDescent="0.25">
      <c r="A389" s="1"/>
      <c r="B389" s="1"/>
      <c r="C389" s="1"/>
      <c r="D389" s="7"/>
      <c r="E389" s="1"/>
      <c r="F389" s="1"/>
      <c r="G389" s="1"/>
      <c r="H389" s="1"/>
      <c r="I389" s="1"/>
      <c r="J389" s="1"/>
      <c r="K389" s="1"/>
      <c r="L389" s="1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x14ac:dyDescent="0.25">
      <c r="A390" s="1"/>
      <c r="B390" s="1"/>
      <c r="C390" s="1"/>
      <c r="D390" s="7"/>
      <c r="E390" s="1"/>
      <c r="F390" s="1"/>
      <c r="G390" s="1"/>
      <c r="H390" s="1"/>
      <c r="I390" s="1"/>
      <c r="J390" s="1"/>
      <c r="K390" s="1"/>
      <c r="L390" s="1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x14ac:dyDescent="0.25">
      <c r="A391" s="1"/>
      <c r="B391" s="1"/>
      <c r="C391" s="1"/>
      <c r="D391" s="7"/>
      <c r="E391" s="1"/>
      <c r="F391" s="1"/>
      <c r="G391" s="1"/>
      <c r="H391" s="1"/>
      <c r="I391" s="1"/>
      <c r="J391" s="1"/>
      <c r="K391" s="1"/>
      <c r="L391" s="1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x14ac:dyDescent="0.25">
      <c r="A392" s="1"/>
      <c r="B392" s="1"/>
      <c r="C392" s="1"/>
      <c r="D392" s="7"/>
      <c r="E392" s="1"/>
      <c r="F392" s="1"/>
      <c r="G392" s="1"/>
      <c r="H392" s="1"/>
      <c r="I392" s="1"/>
      <c r="J392" s="1"/>
      <c r="K392" s="1"/>
      <c r="L392" s="1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x14ac:dyDescent="0.25">
      <c r="A393" s="1"/>
      <c r="B393" s="1"/>
      <c r="C393" s="1"/>
      <c r="D393" s="7"/>
      <c r="E393" s="1"/>
      <c r="F393" s="1"/>
      <c r="G393" s="1"/>
      <c r="H393" s="1"/>
      <c r="I393" s="1"/>
      <c r="J393" s="1"/>
      <c r="K393" s="1"/>
      <c r="L393" s="1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x14ac:dyDescent="0.25">
      <c r="A394" s="1"/>
      <c r="B394" s="1"/>
      <c r="C394" s="1"/>
      <c r="D394" s="7"/>
      <c r="E394" s="1"/>
      <c r="F394" s="1"/>
      <c r="G394" s="1"/>
      <c r="H394" s="1"/>
      <c r="I394" s="1"/>
      <c r="J394" s="1"/>
      <c r="K394" s="1"/>
      <c r="L394" s="1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x14ac:dyDescent="0.25">
      <c r="A395" s="1"/>
      <c r="B395" s="1"/>
      <c r="C395" s="1"/>
      <c r="D395" s="7"/>
      <c r="E395" s="1"/>
      <c r="F395" s="1"/>
      <c r="G395" s="1"/>
      <c r="H395" s="1"/>
      <c r="I395" s="1"/>
      <c r="J395" s="1"/>
      <c r="K395" s="1"/>
      <c r="L395" s="1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x14ac:dyDescent="0.25">
      <c r="A396" s="1"/>
      <c r="B396" s="1"/>
      <c r="C396" s="1"/>
      <c r="D396" s="7"/>
      <c r="E396" s="1"/>
      <c r="F396" s="1"/>
      <c r="G396" s="1"/>
      <c r="H396" s="1"/>
      <c r="I396" s="1"/>
      <c r="J396" s="1"/>
      <c r="K396" s="1"/>
      <c r="L396" s="1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x14ac:dyDescent="0.25">
      <c r="A397" s="1"/>
      <c r="B397" s="1"/>
      <c r="C397" s="1"/>
      <c r="D397" s="7"/>
      <c r="E397" s="1"/>
      <c r="F397" s="1"/>
      <c r="G397" s="1"/>
      <c r="H397" s="1"/>
      <c r="I397" s="1"/>
      <c r="J397" s="1"/>
      <c r="K397" s="1"/>
      <c r="L397" s="1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</sheetData>
  <conditionalFormatting sqref="M6:AK7">
    <cfRule type="containsBlanks" dxfId="51" priority="53">
      <formula>LEN(TRIM(M6))=0</formula>
    </cfRule>
  </conditionalFormatting>
  <conditionalFormatting sqref="M12:AK13">
    <cfRule type="containsBlanks" dxfId="50" priority="52">
      <formula>LEN(TRIM(M12))=0</formula>
    </cfRule>
  </conditionalFormatting>
  <conditionalFormatting sqref="M17:AK18">
    <cfRule type="containsBlanks" dxfId="49" priority="51">
      <formula>LEN(TRIM(M17))=0</formula>
    </cfRule>
  </conditionalFormatting>
  <conditionalFormatting sqref="M27:AK28">
    <cfRule type="containsBlanks" dxfId="48" priority="50">
      <formula>LEN(TRIM(M27))=0</formula>
    </cfRule>
  </conditionalFormatting>
  <conditionalFormatting sqref="M32:AK33">
    <cfRule type="containsBlanks" dxfId="47" priority="48">
      <formula>LEN(TRIM(M32))=0</formula>
    </cfRule>
  </conditionalFormatting>
  <conditionalFormatting sqref="M42:AK43">
    <cfRule type="containsBlanks" dxfId="46" priority="45">
      <formula>LEN(TRIM(M42))=0</formula>
    </cfRule>
  </conditionalFormatting>
  <conditionalFormatting sqref="M57:AK58">
    <cfRule type="containsBlanks" dxfId="45" priority="43">
      <formula>LEN(TRIM(M57))=0</formula>
    </cfRule>
  </conditionalFormatting>
  <conditionalFormatting sqref="M67:AK68">
    <cfRule type="containsBlanks" dxfId="44" priority="42">
      <formula>LEN(TRIM(M67))=0</formula>
    </cfRule>
  </conditionalFormatting>
  <conditionalFormatting sqref="M83:AK84">
    <cfRule type="containsBlanks" dxfId="43" priority="41">
      <formula>LEN(TRIM(M83))=0</formula>
    </cfRule>
  </conditionalFormatting>
  <conditionalFormatting sqref="M88:AK88">
    <cfRule type="containsBlanks" dxfId="42" priority="38">
      <formula>LEN(TRIM(M88))=0</formula>
    </cfRule>
  </conditionalFormatting>
  <conditionalFormatting sqref="M86:AK86">
    <cfRule type="containsBlanks" dxfId="41" priority="39">
      <formula>LEN(TRIM(M86))=0</formula>
    </cfRule>
  </conditionalFormatting>
  <conditionalFormatting sqref="M90:AK90">
    <cfRule type="containsBlanks" dxfId="40" priority="37">
      <formula>LEN(TRIM(M90))=0</formula>
    </cfRule>
  </conditionalFormatting>
  <conditionalFormatting sqref="M99:AK100">
    <cfRule type="containsBlanks" dxfId="39" priority="35">
      <formula>LEN(TRIM(M99))=0</formula>
    </cfRule>
  </conditionalFormatting>
  <conditionalFormatting sqref="M112:AK112">
    <cfRule type="containsBlanks" dxfId="38" priority="34">
      <formula>LEN(TRIM(M112))=0</formula>
    </cfRule>
  </conditionalFormatting>
  <conditionalFormatting sqref="M121:AK122">
    <cfRule type="containsBlanks" dxfId="37" priority="33">
      <formula>LEN(TRIM(M121))=0</formula>
    </cfRule>
  </conditionalFormatting>
  <conditionalFormatting sqref="M134:AK134">
    <cfRule type="containsBlanks" dxfId="36" priority="32">
      <formula>LEN(TRIM(M134))=0</formula>
    </cfRule>
  </conditionalFormatting>
  <conditionalFormatting sqref="M143:AK144">
    <cfRule type="containsBlanks" dxfId="35" priority="31">
      <formula>LEN(TRIM(M143))=0</formula>
    </cfRule>
  </conditionalFormatting>
  <conditionalFormatting sqref="M163:AK164">
    <cfRule type="containsBlanks" dxfId="34" priority="30">
      <formula>LEN(TRIM(M163))=0</formula>
    </cfRule>
  </conditionalFormatting>
  <conditionalFormatting sqref="M178:AK179">
    <cfRule type="containsBlanks" dxfId="33" priority="29">
      <formula>LEN(TRIM(M178))=0</formula>
    </cfRule>
  </conditionalFormatting>
  <conditionalFormatting sqref="M188:AK189">
    <cfRule type="containsBlanks" dxfId="32" priority="28">
      <formula>LEN(TRIM(M188))=0</formula>
    </cfRule>
  </conditionalFormatting>
  <conditionalFormatting sqref="M203:AK204">
    <cfRule type="containsBlanks" dxfId="31" priority="27">
      <formula>LEN(TRIM(M203))=0</formula>
    </cfRule>
  </conditionalFormatting>
  <conditionalFormatting sqref="M213:AK214">
    <cfRule type="containsBlanks" dxfId="30" priority="26">
      <formula>LEN(TRIM(M213))=0</formula>
    </cfRule>
  </conditionalFormatting>
  <conditionalFormatting sqref="M228:AK229">
    <cfRule type="containsBlanks" dxfId="29" priority="25">
      <formula>LEN(TRIM(M228))=0</formula>
    </cfRule>
  </conditionalFormatting>
  <conditionalFormatting sqref="M243:AK244">
    <cfRule type="containsBlanks" dxfId="28" priority="24">
      <formula>LEN(TRIM(M243))=0</formula>
    </cfRule>
  </conditionalFormatting>
  <conditionalFormatting sqref="M233:AK234">
    <cfRule type="containsBlanks" dxfId="27" priority="23">
      <formula>LEN(TRIM(M233))=0</formula>
    </cfRule>
  </conditionalFormatting>
  <conditionalFormatting sqref="M290:AK290">
    <cfRule type="containsBlanks" dxfId="26" priority="18">
      <formula>LEN(TRIM(M290))=0</formula>
    </cfRule>
  </conditionalFormatting>
  <conditionalFormatting sqref="M256:AK256">
    <cfRule type="containsBlanks" dxfId="25" priority="22">
      <formula>LEN(TRIM(M256))=0</formula>
    </cfRule>
  </conditionalFormatting>
  <conditionalFormatting sqref="M262:AK263">
    <cfRule type="containsBlanks" dxfId="24" priority="21">
      <formula>LEN(TRIM(M262))=0</formula>
    </cfRule>
  </conditionalFormatting>
  <conditionalFormatting sqref="M277:AK278">
    <cfRule type="containsBlanks" dxfId="23" priority="20">
      <formula>LEN(TRIM(M277))=0</formula>
    </cfRule>
  </conditionalFormatting>
  <conditionalFormatting sqref="M267:AK268">
    <cfRule type="containsBlanks" dxfId="22" priority="19">
      <formula>LEN(TRIM(M267))=0</formula>
    </cfRule>
  </conditionalFormatting>
  <conditionalFormatting sqref="M329:AK329">
    <cfRule type="containsBlanks" dxfId="21" priority="13">
      <formula>LEN(TRIM(M329))=0</formula>
    </cfRule>
  </conditionalFormatting>
  <conditionalFormatting sqref="M341:AK341">
    <cfRule type="containsBlanks" dxfId="20" priority="14">
      <formula>LEN(TRIM(M341))=0</formula>
    </cfRule>
  </conditionalFormatting>
  <conditionalFormatting sqref="M335:AK335">
    <cfRule type="containsBlanks" dxfId="19" priority="16">
      <formula>LEN(TRIM(M335))=0</formula>
    </cfRule>
  </conditionalFormatting>
  <conditionalFormatting sqref="M311:AK312">
    <cfRule type="containsBlanks" dxfId="18" priority="9">
      <formula>LEN(TRIM(M311))=0</formula>
    </cfRule>
  </conditionalFormatting>
  <conditionalFormatting sqref="M296:AK297">
    <cfRule type="containsBlanks" dxfId="17" priority="10">
      <formula>LEN(TRIM(M296))=0</formula>
    </cfRule>
  </conditionalFormatting>
  <conditionalFormatting sqref="M331:AK331">
    <cfRule type="containsBlanks" dxfId="16" priority="12">
      <formula>LEN(TRIM(M331))=0</formula>
    </cfRule>
  </conditionalFormatting>
  <conditionalFormatting sqref="M324:AK324">
    <cfRule type="containsBlanks" dxfId="15" priority="7">
      <formula>LEN(TRIM(M324))=0</formula>
    </cfRule>
  </conditionalFormatting>
  <conditionalFormatting sqref="M301:AK302">
    <cfRule type="containsBlanks" dxfId="14" priority="8">
      <formula>LEN(TRIM(M301))=0</formula>
    </cfRule>
  </conditionalFormatting>
  <conditionalFormatting sqref="M347:AK347">
    <cfRule type="containsBlanks" dxfId="13" priority="6">
      <formula>LEN(TRIM(M347))=0</formula>
    </cfRule>
  </conditionalFormatting>
  <conditionalFormatting sqref="M355:AK355">
    <cfRule type="containsBlanks" dxfId="12" priority="4">
      <formula>LEN(TRIM(M355))=0</formula>
    </cfRule>
  </conditionalFormatting>
  <conditionalFormatting sqref="M363:AK363">
    <cfRule type="containsBlanks" dxfId="11" priority="3">
      <formula>LEN(TRIM(M363))=0</formula>
    </cfRule>
  </conditionalFormatting>
  <conditionalFormatting sqref="D5">
    <cfRule type="containsBlanks" dxfId="10" priority="2">
      <formula>LEN(TRIM(D5))=0</formula>
    </cfRule>
  </conditionalFormatting>
  <conditionalFormatting sqref="M369:AK369">
    <cfRule type="containsBlanks" dxfId="9" priority="1">
      <formula>LEN(TRIM(M369))=0</formula>
    </cfRule>
  </conditionalFormatting>
  <dataValidations count="3">
    <dataValidation type="whole" operator="greaterThan" allowBlank="1" showInputMessage="1" showErrorMessage="1" sqref="M12:AK13 M17:AK18 M32:AK33 M57:AK58 D5">
      <formula1>0</formula1>
    </dataValidation>
    <dataValidation type="decimal" allowBlank="1" showInputMessage="1" showErrorMessage="1" sqref="M27:AK28 M369:AK369 M67:AJ68 M99:AJ100 M121:AJ122 M143:AJ144 M163:AJ164 M188:AJ189 M213:AJ214 M243:AJ244 M277:AJ278 M335:AJ335 M311:AJ312 M347:AJ347 M355:AJ355 M363:AJ363 M42:AJ43">
      <formula1>0</formula1>
      <formula2>1</formula2>
    </dataValidation>
    <dataValidation operator="greaterThan" allowBlank="1" showInputMessage="1" showErrorMessage="1" sqref="M83:AK84 M86:AK86 M88:AK88 M90:AK90 M324:AK324 M178:AK179 M112:AK112 M203:AK204 M228:AK229 M233:AK234 M256:AK256 M290:AK290 M262:AK263 M267:AK268 M331:AK331 M329:AK329 M341:AK341 M296:AK297 M301:AK302 M134:AK134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47"/>
  <sheetViews>
    <sheetView showGridLines="0" workbookViewId="0">
      <pane xSplit="7" ySplit="7" topLeftCell="H8" activePane="bottomRight" state="frozen"/>
      <selection pane="topRight" activeCell="J1" sqref="J1"/>
      <selection pane="bottomLeft" activeCell="A8" sqref="A8"/>
      <selection pane="bottomRight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124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44378</v>
      </c>
      <c r="K6" s="15">
        <f>IF(J7="","",J7+1)</f>
        <v>44409</v>
      </c>
      <c r="L6" s="15">
        <f t="shared" ref="L6:AH6" si="2">IF(K7="","",K7+1)</f>
        <v>44440</v>
      </c>
      <c r="M6" s="15">
        <f t="shared" si="2"/>
        <v>44470</v>
      </c>
      <c r="N6" s="15">
        <f t="shared" si="2"/>
        <v>44501</v>
      </c>
      <c r="O6" s="15">
        <f t="shared" si="2"/>
        <v>44531</v>
      </c>
      <c r="P6" s="15">
        <f t="shared" si="2"/>
        <v>44562</v>
      </c>
      <c r="Q6" s="15">
        <f t="shared" si="2"/>
        <v>44593</v>
      </c>
      <c r="R6" s="15">
        <f t="shared" si="2"/>
        <v>44621</v>
      </c>
      <c r="S6" s="15">
        <f t="shared" si="2"/>
        <v>44652</v>
      </c>
      <c r="T6" s="15">
        <f t="shared" si="2"/>
        <v>44682</v>
      </c>
      <c r="U6" s="15">
        <f t="shared" si="2"/>
        <v>44713</v>
      </c>
      <c r="V6" s="15">
        <f t="shared" si="2"/>
        <v>44743</v>
      </c>
      <c r="W6" s="15">
        <f t="shared" si="2"/>
        <v>44774</v>
      </c>
      <c r="X6" s="15">
        <f t="shared" si="2"/>
        <v>44805</v>
      </c>
      <c r="Y6" s="15">
        <f t="shared" si="2"/>
        <v>44835</v>
      </c>
      <c r="Z6" s="15">
        <f t="shared" si="2"/>
        <v>44866</v>
      </c>
      <c r="AA6" s="15">
        <f t="shared" si="2"/>
        <v>44896</v>
      </c>
      <c r="AB6" s="15">
        <f t="shared" si="2"/>
        <v>44927</v>
      </c>
      <c r="AC6" s="15">
        <f t="shared" si="2"/>
        <v>44958</v>
      </c>
      <c r="AD6" s="15">
        <f t="shared" si="2"/>
        <v>44986</v>
      </c>
      <c r="AE6" s="15">
        <f t="shared" si="2"/>
        <v>45017</v>
      </c>
      <c r="AF6" s="15">
        <f t="shared" si="2"/>
        <v>45047</v>
      </c>
      <c r="AG6" s="15">
        <f t="shared" si="2"/>
        <v>45078</v>
      </c>
      <c r="AH6" s="15">
        <f t="shared" si="2"/>
        <v>45108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44408</v>
      </c>
      <c r="K7" s="15">
        <f t="shared" ref="K7:AH7" si="3">IF(K6="","",EOMONTH(K6,0))</f>
        <v>44439</v>
      </c>
      <c r="L7" s="15">
        <f t="shared" si="3"/>
        <v>44469</v>
      </c>
      <c r="M7" s="15">
        <f t="shared" si="3"/>
        <v>44500</v>
      </c>
      <c r="N7" s="15">
        <f t="shared" si="3"/>
        <v>44530</v>
      </c>
      <c r="O7" s="15">
        <f t="shared" si="3"/>
        <v>44561</v>
      </c>
      <c r="P7" s="15">
        <f t="shared" si="3"/>
        <v>44592</v>
      </c>
      <c r="Q7" s="15">
        <f t="shared" si="3"/>
        <v>44620</v>
      </c>
      <c r="R7" s="15">
        <f t="shared" si="3"/>
        <v>44651</v>
      </c>
      <c r="S7" s="15">
        <f t="shared" si="3"/>
        <v>44681</v>
      </c>
      <c r="T7" s="15">
        <f t="shared" si="3"/>
        <v>44712</v>
      </c>
      <c r="U7" s="15">
        <f t="shared" si="3"/>
        <v>44742</v>
      </c>
      <c r="V7" s="15">
        <f t="shared" si="3"/>
        <v>44773</v>
      </c>
      <c r="W7" s="15">
        <f t="shared" si="3"/>
        <v>44804</v>
      </c>
      <c r="X7" s="15">
        <f t="shared" si="3"/>
        <v>44834</v>
      </c>
      <c r="Y7" s="15">
        <f t="shared" si="3"/>
        <v>44865</v>
      </c>
      <c r="Z7" s="15">
        <f t="shared" si="3"/>
        <v>44895</v>
      </c>
      <c r="AA7" s="15">
        <f t="shared" si="3"/>
        <v>44926</v>
      </c>
      <c r="AB7" s="15">
        <f t="shared" si="3"/>
        <v>44957</v>
      </c>
      <c r="AC7" s="15">
        <f t="shared" si="3"/>
        <v>44985</v>
      </c>
      <c r="AD7" s="15">
        <f t="shared" si="3"/>
        <v>45016</v>
      </c>
      <c r="AE7" s="15">
        <f t="shared" si="3"/>
        <v>45046</v>
      </c>
      <c r="AF7" s="15">
        <f t="shared" si="3"/>
        <v>45077</v>
      </c>
      <c r="AG7" s="15">
        <f t="shared" si="3"/>
        <v>45107</v>
      </c>
      <c r="AH7" s="15">
        <f t="shared" si="3"/>
        <v>45138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x14ac:dyDescent="0.25">
      <c r="A9" s="1"/>
      <c r="B9" s="1"/>
      <c r="C9" s="1"/>
      <c r="D9" s="1"/>
      <c r="E9" s="1"/>
      <c r="F9" s="1"/>
      <c r="G9" s="1"/>
      <c r="H9" s="1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"/>
      <c r="AJ9" s="1"/>
    </row>
    <row r="10" spans="1:36" s="8" customFormat="1" x14ac:dyDescent="0.25">
      <c r="A10" s="7"/>
      <c r="B10" s="7"/>
      <c r="C10" s="7"/>
      <c r="D10" s="7"/>
      <c r="E10" s="7" t="str">
        <f>структура!$D$10</f>
        <v>Выручка</v>
      </c>
      <c r="F10" s="7"/>
      <c r="G10" s="7"/>
      <c r="H10" s="7"/>
      <c r="I10" s="10"/>
      <c r="J10" s="17">
        <f>SUMIFS(условия_и_расчеты!M:M,условия_и_расчеты!$D:$D,$E10)</f>
        <v>115568</v>
      </c>
      <c r="K10" s="17">
        <f>SUMIFS(условия_и_расчеты!N:N,условия_и_расчеты!$D:$D,$E10)</f>
        <v>122188</v>
      </c>
      <c r="L10" s="17">
        <f>SUMIFS(условия_и_расчеты!O:O,условия_и_расчеты!$D:$D,$E10)</f>
        <v>128158</v>
      </c>
      <c r="M10" s="17">
        <f>SUMIFS(условия_и_расчеты!P:P,условия_и_расчеты!$D:$D,$E10)</f>
        <v>128962</v>
      </c>
      <c r="N10" s="17">
        <f>SUMIFS(условия_и_расчеты!Q:Q,условия_и_расчеты!$D:$D,$E10)</f>
        <v>135086</v>
      </c>
      <c r="O10" s="17">
        <f>SUMIFS(условия_и_расчеты!R:R,условия_и_расчеты!$D:$D,$E10)</f>
        <v>141740</v>
      </c>
      <c r="P10" s="17">
        <f>SUMIFS(условия_и_расчеты!S:S,условия_и_расчеты!$D:$D,$E10)</f>
        <v>148822</v>
      </c>
      <c r="Q10" s="17">
        <f>SUMIFS(условия_и_расчеты!T:T,условия_и_расчеты!$D:$D,$E10)</f>
        <v>154946</v>
      </c>
      <c r="R10" s="17">
        <f>SUMIFS(условия_и_расчеты!U:U,условия_и_расчеты!$D:$D,$E10)</f>
        <v>165636</v>
      </c>
      <c r="S10" s="17">
        <f>SUMIFS(условия_и_расчеты!V:V,условия_и_расчеты!$D:$D,$E10)</f>
        <v>177252</v>
      </c>
      <c r="T10" s="17">
        <f>SUMIFS(условия_и_расчеты!W:W,условия_и_расчеты!$D:$D,$E10)</f>
        <v>181176</v>
      </c>
      <c r="U10" s="17">
        <f>SUMIFS(условия_и_расчеты!X:X,условия_и_расчеты!$D:$D,$E10)</f>
        <v>181176</v>
      </c>
      <c r="V10" s="17">
        <f>SUMIFS(условия_и_расчеты!Y:Y,условия_и_расчеты!$D:$D,$E10)</f>
        <v>190280</v>
      </c>
      <c r="W10" s="17">
        <f>SUMIFS(условия_и_расчеты!Z:Z,условия_и_расчеты!$D:$D,$E10)</f>
        <v>190280</v>
      </c>
      <c r="X10" s="17">
        <f>SUMIFS(условия_и_расчеты!AA:AA,условия_и_расчеты!$D:$D,$E10)</f>
        <v>193480</v>
      </c>
      <c r="Y10" s="17">
        <f>SUMIFS(условия_и_расчеты!AB:AB,условия_и_расчеты!$D:$D,$E10)</f>
        <v>201240</v>
      </c>
      <c r="Z10" s="17">
        <f>SUMIFS(условия_и_расчеты!AC:AC,условия_и_расчеты!$D:$D,$E10)</f>
        <v>201240</v>
      </c>
      <c r="AA10" s="17">
        <f>SUMIFS(условия_и_расчеты!AD:AD,условия_и_расчеты!$D:$D,$E10)</f>
        <v>201240</v>
      </c>
      <c r="AB10" s="17">
        <f>SUMIFS(условия_и_расчеты!AE:AE,условия_и_расчеты!$D:$D,$E10)</f>
        <v>201240</v>
      </c>
      <c r="AC10" s="17">
        <f>SUMIFS(условия_и_расчеты!AF:AF,условия_и_расчеты!$D:$D,$E10)</f>
        <v>201240</v>
      </c>
      <c r="AD10" s="17">
        <f>SUMIFS(условия_и_расчеты!AG:AG,условия_и_расчеты!$D:$D,$E10)</f>
        <v>201240</v>
      </c>
      <c r="AE10" s="17">
        <f>SUMIFS(условия_и_расчеты!AH:AH,условия_и_расчеты!$D:$D,$E10)</f>
        <v>201240</v>
      </c>
      <c r="AF10" s="17">
        <f>SUMIFS(условия_и_расчеты!AI:AI,условия_и_расчеты!$D:$D,$E10)</f>
        <v>201240</v>
      </c>
      <c r="AG10" s="17">
        <f>SUMIFS(условия_и_расчеты!AJ:AJ,условия_и_расчеты!$D:$D,$E10)</f>
        <v>201240</v>
      </c>
      <c r="AH10" s="17">
        <f>SUMIFS(условия_и_расчеты!AK:AK,условия_и_расчеты!$D:$D,$E10)</f>
        <v>201240</v>
      </c>
      <c r="AI10" s="7"/>
      <c r="AJ10" s="7"/>
    </row>
    <row r="11" spans="1:36" x14ac:dyDescent="0.25">
      <c r="A11" s="1"/>
      <c r="B11" s="1"/>
      <c r="C11" s="1"/>
      <c r="D11" s="1"/>
      <c r="E11" s="1"/>
      <c r="F11" s="1"/>
      <c r="G11" s="1"/>
      <c r="H11" s="1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"/>
      <c r="AJ11" s="1"/>
    </row>
    <row r="12" spans="1:36" s="39" customFormat="1" x14ac:dyDescent="0.25">
      <c r="A12" s="36"/>
      <c r="B12" s="36"/>
      <c r="C12" s="36"/>
      <c r="D12" s="36"/>
      <c r="E12" s="36" t="str">
        <f>структура!$D$14</f>
        <v>Себестоимость</v>
      </c>
      <c r="F12" s="36"/>
      <c r="G12" s="36"/>
      <c r="H12" s="36"/>
      <c r="I12" s="37"/>
      <c r="J12" s="38">
        <f>SUMIFS(условия_и_расчеты!M:M,условия_и_расчеты!$D:$D,$E12)</f>
        <v>56000</v>
      </c>
      <c r="K12" s="38">
        <f>SUMIFS(условия_и_расчеты!N:N,условия_и_расчеты!$D:$D,$E12)</f>
        <v>59200</v>
      </c>
      <c r="L12" s="38">
        <f>SUMIFS(условия_и_расчеты!O:O,условия_и_расчеты!$D:$D,$E12)</f>
        <v>62100</v>
      </c>
      <c r="M12" s="38">
        <f>SUMIFS(условия_и_расчеты!P:P,условия_и_расчеты!$D:$D,$E12)</f>
        <v>62500</v>
      </c>
      <c r="N12" s="38">
        <f>SUMIFS(условия_и_расчеты!Q:Q,условия_и_расчеты!$D:$D,$E12)</f>
        <v>65500</v>
      </c>
      <c r="O12" s="38">
        <f>SUMIFS(условия_и_расчеты!R:R,условия_и_расчеты!$D:$D,$E12)</f>
        <v>68600</v>
      </c>
      <c r="P12" s="38">
        <f>SUMIFS(условия_и_расчеты!S:S,условия_и_расчеты!$D:$D,$E12)</f>
        <v>72100</v>
      </c>
      <c r="Q12" s="38">
        <f>SUMIFS(условия_и_расчеты!T:T,условия_и_расчеты!$D:$D,$E12)</f>
        <v>75100</v>
      </c>
      <c r="R12" s="38">
        <f>SUMIFS(условия_и_расчеты!U:U,условия_и_расчеты!$D:$D,$E12)</f>
        <v>79100</v>
      </c>
      <c r="S12" s="38">
        <f>SUMIFS(условия_и_расчеты!V:V,условия_и_расчеты!$D:$D,$E12)</f>
        <v>84700</v>
      </c>
      <c r="T12" s="38">
        <f>SUMIFS(условия_и_расчеты!W:W,условия_и_расчеты!$D:$D,$E12)</f>
        <v>86600</v>
      </c>
      <c r="U12" s="38">
        <f>SUMIFS(условия_и_расчеты!X:X,условия_и_расчеты!$D:$D,$E12)</f>
        <v>86600</v>
      </c>
      <c r="V12" s="38">
        <f>SUMIFS(условия_и_расчеты!Y:Y,условия_и_расчеты!$D:$D,$E12)</f>
        <v>88300</v>
      </c>
      <c r="W12" s="38">
        <f>SUMIFS(условия_и_расчеты!Z:Z,условия_и_расчеты!$D:$D,$E12)</f>
        <v>88300</v>
      </c>
      <c r="X12" s="38">
        <f>SUMIFS(условия_и_расчеты!AA:AA,условия_и_расчеты!$D:$D,$E12)</f>
        <v>89800</v>
      </c>
      <c r="Y12" s="38">
        <f>SUMIFS(условия_и_расчеты!AB:AB,условия_и_расчеты!$D:$D,$E12)</f>
        <v>93400</v>
      </c>
      <c r="Z12" s="38">
        <f>SUMIFS(условия_и_расчеты!AC:AC,условия_и_расчеты!$D:$D,$E12)</f>
        <v>93400</v>
      </c>
      <c r="AA12" s="38">
        <f>SUMIFS(условия_и_расчеты!AD:AD,условия_и_расчеты!$D:$D,$E12)</f>
        <v>93400</v>
      </c>
      <c r="AB12" s="38">
        <f>SUMIFS(условия_и_расчеты!AE:AE,условия_и_расчеты!$D:$D,$E12)</f>
        <v>93400</v>
      </c>
      <c r="AC12" s="38">
        <f>SUMIFS(условия_и_расчеты!AF:AF,условия_и_расчеты!$D:$D,$E12)</f>
        <v>93400</v>
      </c>
      <c r="AD12" s="38">
        <f>SUMIFS(условия_и_расчеты!AG:AG,условия_и_расчеты!$D:$D,$E12)</f>
        <v>93400</v>
      </c>
      <c r="AE12" s="38">
        <f>SUMIFS(условия_и_расчеты!AH:AH,условия_и_расчеты!$D:$D,$E12)</f>
        <v>93400</v>
      </c>
      <c r="AF12" s="38">
        <f>SUMIFS(условия_и_расчеты!AI:AI,условия_и_расчеты!$D:$D,$E12)</f>
        <v>93400</v>
      </c>
      <c r="AG12" s="38">
        <f>SUMIFS(условия_и_расчеты!AJ:AJ,условия_и_расчеты!$D:$D,$E12)</f>
        <v>93400</v>
      </c>
      <c r="AH12" s="38">
        <f>SUMIFS(условия_и_расчеты!AK:AK,условия_и_расчеты!$D:$D,$E12)</f>
        <v>93400</v>
      </c>
      <c r="AI12" s="36"/>
      <c r="AJ12" s="36"/>
    </row>
    <row r="13" spans="1:36" x14ac:dyDescent="0.25">
      <c r="A13" s="1"/>
      <c r="B13" s="1"/>
      <c r="C13" s="1"/>
      <c r="D13" s="1"/>
      <c r="E13" s="1"/>
      <c r="F13" s="1"/>
      <c r="G13" s="1"/>
      <c r="H13" s="1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"/>
      <c r="AJ13" s="1"/>
    </row>
    <row r="14" spans="1:36" s="8" customFormat="1" x14ac:dyDescent="0.25">
      <c r="A14" s="7"/>
      <c r="B14" s="7"/>
      <c r="C14" s="7"/>
      <c r="D14" s="7"/>
      <c r="E14" s="7" t="str">
        <f>структура!$D$20</f>
        <v>Валовая прибыль</v>
      </c>
      <c r="F14" s="7"/>
      <c r="G14" s="7"/>
      <c r="H14" s="7"/>
      <c r="I14" s="10"/>
      <c r="J14" s="17">
        <f>J10-J12</f>
        <v>59568</v>
      </c>
      <c r="K14" s="17">
        <f t="shared" ref="K14:AH14" si="4">K10-K12</f>
        <v>62988</v>
      </c>
      <c r="L14" s="17">
        <f t="shared" si="4"/>
        <v>66058</v>
      </c>
      <c r="M14" s="17">
        <f t="shared" si="4"/>
        <v>66462</v>
      </c>
      <c r="N14" s="17">
        <f t="shared" si="4"/>
        <v>69586</v>
      </c>
      <c r="O14" s="17">
        <f t="shared" si="4"/>
        <v>73140</v>
      </c>
      <c r="P14" s="17">
        <f t="shared" si="4"/>
        <v>76722</v>
      </c>
      <c r="Q14" s="17">
        <f t="shared" si="4"/>
        <v>79846</v>
      </c>
      <c r="R14" s="17">
        <f t="shared" si="4"/>
        <v>86536</v>
      </c>
      <c r="S14" s="17">
        <f t="shared" si="4"/>
        <v>92552</v>
      </c>
      <c r="T14" s="17">
        <f t="shared" si="4"/>
        <v>94576</v>
      </c>
      <c r="U14" s="17">
        <f t="shared" si="4"/>
        <v>94576</v>
      </c>
      <c r="V14" s="17">
        <f t="shared" si="4"/>
        <v>101980</v>
      </c>
      <c r="W14" s="17">
        <f t="shared" si="4"/>
        <v>101980</v>
      </c>
      <c r="X14" s="17">
        <f t="shared" si="4"/>
        <v>103680</v>
      </c>
      <c r="Y14" s="17">
        <f t="shared" si="4"/>
        <v>107840</v>
      </c>
      <c r="Z14" s="17">
        <f t="shared" si="4"/>
        <v>107840</v>
      </c>
      <c r="AA14" s="17">
        <f t="shared" si="4"/>
        <v>107840</v>
      </c>
      <c r="AB14" s="17">
        <f t="shared" si="4"/>
        <v>107840</v>
      </c>
      <c r="AC14" s="17">
        <f t="shared" si="4"/>
        <v>107840</v>
      </c>
      <c r="AD14" s="17">
        <f t="shared" si="4"/>
        <v>107840</v>
      </c>
      <c r="AE14" s="17">
        <f t="shared" si="4"/>
        <v>107840</v>
      </c>
      <c r="AF14" s="17">
        <f t="shared" si="4"/>
        <v>107840</v>
      </c>
      <c r="AG14" s="17">
        <f t="shared" si="4"/>
        <v>107840</v>
      </c>
      <c r="AH14" s="17">
        <f t="shared" si="4"/>
        <v>107840</v>
      </c>
      <c r="AI14" s="17"/>
      <c r="AJ14" s="7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"/>
      <c r="AJ15" s="1"/>
    </row>
    <row r="16" spans="1:36" s="8" customFormat="1" x14ac:dyDescent="0.25">
      <c r="A16" s="7"/>
      <c r="B16" s="7"/>
      <c r="C16" s="7"/>
      <c r="D16" s="7"/>
      <c r="E16" s="7" t="str">
        <f>структура!$D$17</f>
        <v>Переменные расходы</v>
      </c>
      <c r="F16" s="7"/>
      <c r="G16" s="7"/>
      <c r="H16" s="7"/>
      <c r="I16" s="10"/>
      <c r="J16" s="17">
        <f>SUM(J17:J24)</f>
        <v>45724.653772800004</v>
      </c>
      <c r="K16" s="17">
        <f t="shared" ref="K16:AH16" si="5">SUM(K17:K24)</f>
        <v>52186.480320000002</v>
      </c>
      <c r="L16" s="17">
        <f t="shared" si="5"/>
        <v>51525.01064</v>
      </c>
      <c r="M16" s="17">
        <f t="shared" si="5"/>
        <v>50624.515576000005</v>
      </c>
      <c r="N16" s="17">
        <f t="shared" si="5"/>
        <v>51809.452136</v>
      </c>
      <c r="O16" s="17">
        <f t="shared" si="5"/>
        <v>54207.450246239998</v>
      </c>
      <c r="P16" s="17">
        <f t="shared" si="5"/>
        <v>55591.744923040002</v>
      </c>
      <c r="Q16" s="17">
        <f t="shared" si="5"/>
        <v>57218.400199039999</v>
      </c>
      <c r="R16" s="17">
        <f t="shared" si="5"/>
        <v>62900.554183200002</v>
      </c>
      <c r="S16" s="17">
        <f t="shared" si="5"/>
        <v>67324.758480000004</v>
      </c>
      <c r="T16" s="17">
        <f t="shared" si="5"/>
        <v>71250.104822399997</v>
      </c>
      <c r="U16" s="17">
        <f t="shared" si="5"/>
        <v>75020.692607999998</v>
      </c>
      <c r="V16" s="17">
        <f t="shared" si="5"/>
        <v>77135.268300800002</v>
      </c>
      <c r="W16" s="17">
        <f t="shared" si="5"/>
        <v>77859.104480000009</v>
      </c>
      <c r="X16" s="17">
        <f t="shared" si="5"/>
        <v>73732.818719999996</v>
      </c>
      <c r="Y16" s="17">
        <f t="shared" si="5"/>
        <v>74662.784048000001</v>
      </c>
      <c r="Z16" s="17">
        <f t="shared" si="5"/>
        <v>73740.224816000002</v>
      </c>
      <c r="AA16" s="17">
        <f t="shared" si="5"/>
        <v>72071.71695632</v>
      </c>
      <c r="AB16" s="17">
        <f t="shared" si="5"/>
        <v>71201.185962560005</v>
      </c>
      <c r="AC16" s="17">
        <f t="shared" si="5"/>
        <v>70695.716353280004</v>
      </c>
      <c r="AD16" s="17">
        <f t="shared" si="5"/>
        <v>74032.445643200001</v>
      </c>
      <c r="AE16" s="17">
        <f t="shared" si="5"/>
        <v>74638.694239999997</v>
      </c>
      <c r="AF16" s="17">
        <f t="shared" si="5"/>
        <v>77205.4090784</v>
      </c>
      <c r="AG16" s="17">
        <f t="shared" si="5"/>
        <v>81094.848127999998</v>
      </c>
      <c r="AH16" s="17">
        <f t="shared" si="5"/>
        <v>81598.743065599992</v>
      </c>
      <c r="AI16" s="7"/>
      <c r="AJ16" s="7"/>
    </row>
    <row r="17" spans="1:36" s="4" customFormat="1" ht="10.199999999999999" x14ac:dyDescent="0.2">
      <c r="A17" s="3"/>
      <c r="B17" s="3"/>
      <c r="C17" s="3"/>
      <c r="D17" s="3"/>
      <c r="E17" s="5" t="str">
        <f>структура!$H$9</f>
        <v>в т.ч.</v>
      </c>
      <c r="F17" s="3"/>
      <c r="G17" s="3"/>
      <c r="H17" s="3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3"/>
      <c r="AJ17" s="3"/>
    </row>
    <row r="18" spans="1:36" x14ac:dyDescent="0.25">
      <c r="A18" s="1"/>
      <c r="B18" s="1"/>
      <c r="C18" s="1"/>
      <c r="D18" s="1"/>
      <c r="E18" s="6" t="str">
        <f>KPI!$F$28</f>
        <v>коммунальные расходы</v>
      </c>
      <c r="F18" s="1"/>
      <c r="G18" s="1"/>
      <c r="H18" s="1"/>
      <c r="I18" s="10"/>
      <c r="J18" s="38">
        <f>SUMIFS(условия_и_расчеты!M:M,условия_и_расчеты!$F:$F,$E18)</f>
        <v>9427.0537728000018</v>
      </c>
      <c r="K18" s="38">
        <f>SUMIFS(условия_и_расчеты!N:N,условия_и_расчеты!$F:$F,$E18)</f>
        <v>10388.680320000003</v>
      </c>
      <c r="L18" s="38">
        <f>SUMIFS(условия_и_расчеты!O:O,условия_и_расчеты!$F:$F,$E18)</f>
        <v>7271.8106399999997</v>
      </c>
      <c r="M18" s="38">
        <f>SUMIFS(условия_и_расчеты!P:P,условия_и_расчеты!$F:$F,$E18)</f>
        <v>6022.5155760000007</v>
      </c>
      <c r="N18" s="38">
        <f>SUMIFS(условия_и_расчеты!Q:Q,условия_и_расчеты!$F:$F,$E18)</f>
        <v>5482.0521360000002</v>
      </c>
      <c r="O18" s="38">
        <f>SUMIFS(условия_и_расчеты!R:R,условия_и_расчеты!$F:$F,$E18)</f>
        <v>4535.2502462400007</v>
      </c>
      <c r="P18" s="38">
        <f>SUMIFS(условия_и_расчеты!S:S,условия_и_расчеты!$F:$F,$E18)</f>
        <v>4062.7449230399998</v>
      </c>
      <c r="Q18" s="38">
        <f>SUMIFS(условия_и_расчеты!T:T,условия_и_расчеты!$F:$F,$E18)</f>
        <v>3812.8001990399998</v>
      </c>
      <c r="R18" s="38">
        <f>SUMIFS(условия_и_расчеты!U:U,условия_и_расчеты!$F:$F,$E18)</f>
        <v>6850.354183200001</v>
      </c>
      <c r="S18" s="38">
        <f>SUMIFS(условия_и_расчеты!V:V,условия_и_расчеты!$F:$F,$E18)</f>
        <v>7859.9584800000011</v>
      </c>
      <c r="T18" s="38">
        <f>SUMIFS(условия_и_расчеты!W:W,условия_и_расчеты!$F:$F,$E18)</f>
        <v>10401.104822399999</v>
      </c>
      <c r="U18" s="38">
        <f>SUMIFS(условия_и_расчеты!X:X,условия_и_расчеты!$F:$F,$E18)</f>
        <v>14004.292608</v>
      </c>
      <c r="V18" s="38">
        <f>SUMIFS(условия_и_расчеты!Y:Y,условия_и_расчеты!$F:$F,$E18)</f>
        <v>14780.068300800001</v>
      </c>
      <c r="W18" s="38">
        <f>SUMIFS(условия_и_расчеты!Z:Z,условия_и_расчеты!$F:$F,$E18)</f>
        <v>15395.904480000001</v>
      </c>
      <c r="X18" s="38">
        <f>SUMIFS(условия_и_расчеты!AA:AA,условия_и_расчеты!$F:$F,$E18)</f>
        <v>10445.418719999998</v>
      </c>
      <c r="Y18" s="38">
        <f>SUMIFS(условия_и_расчеты!AB:AB,условия_и_расчеты!$F:$F,$E18)</f>
        <v>8949.3840479999999</v>
      </c>
      <c r="Z18" s="38">
        <f>SUMIFS(условия_и_расчеты!AC:AC,условия_и_расчеты!$F:$F,$E18)</f>
        <v>7794.6248160000014</v>
      </c>
      <c r="AA18" s="38">
        <f>SUMIFS(условия_и_расчеты!AD:AD,условия_и_расчеты!$F:$F,$E18)</f>
        <v>6093.7169563200005</v>
      </c>
      <c r="AB18" s="38">
        <f>SUMIFS(условия_и_расчеты!AE:AE,условия_и_расчеты!$F:$F,$E18)</f>
        <v>5223.1859625600009</v>
      </c>
      <c r="AC18" s="38">
        <f>SUMIFS(условия_и_расчеты!AF:AF,условия_и_расчеты!$F:$F,$E18)</f>
        <v>4717.7163532800005</v>
      </c>
      <c r="AD18" s="38">
        <f>SUMIFS(условия_и_расчеты!AG:AG,условия_и_расчеты!$F:$F,$E18)</f>
        <v>8054.4456432000015</v>
      </c>
      <c r="AE18" s="38">
        <f>SUMIFS(условия_и_расчеты!AH:AH,условия_и_расчеты!$F:$F,$E18)</f>
        <v>8660.6942400000007</v>
      </c>
      <c r="AF18" s="38">
        <f>SUMIFS(условия_и_расчеты!AI:AI,условия_и_расчеты!$F:$F,$E18)</f>
        <v>11227.4090784</v>
      </c>
      <c r="AG18" s="38">
        <f>SUMIFS(условия_и_расчеты!AJ:AJ,условия_и_расчеты!$F:$F,$E18)</f>
        <v>15116.848128000001</v>
      </c>
      <c r="AH18" s="38">
        <f>SUMIFS(условия_и_расчеты!AK:AK,условия_и_расчеты!$F:$F,$E18)</f>
        <v>15620.7430656</v>
      </c>
      <c r="AI18" s="1"/>
      <c r="AJ18" s="1"/>
    </row>
    <row r="19" spans="1:36" x14ac:dyDescent="0.25">
      <c r="A19" s="1"/>
      <c r="B19" s="1"/>
      <c r="C19" s="1"/>
      <c r="D19" s="1"/>
      <c r="E19" s="6" t="str">
        <f>KPI!$F$42</f>
        <v>эксплуатационные расходы</v>
      </c>
      <c r="F19" s="1"/>
      <c r="G19" s="1"/>
      <c r="H19" s="1"/>
      <c r="I19" s="10"/>
      <c r="J19" s="38">
        <f>SUMIFS(условия_и_расчеты!M:M,условия_и_расчеты!$F:$F,$E19)</f>
        <v>4557.6000000000004</v>
      </c>
      <c r="K19" s="38">
        <f>SUMIFS(условия_и_расчеты!N:N,условия_и_расчеты!$F:$F,$E19)</f>
        <v>8191.7999999999993</v>
      </c>
      <c r="L19" s="38">
        <f>SUMIFS(условия_и_расчеты!O:O,условия_и_расчеты!$F:$F,$E19)</f>
        <v>9115.2000000000007</v>
      </c>
      <c r="M19" s="38">
        <f>SUMIFS(условия_и_расчеты!P:P,условия_и_расчеты!$F:$F,$E19)</f>
        <v>9342</v>
      </c>
      <c r="N19" s="38">
        <f>SUMIFS(условия_и_расчеты!Q:Q,условия_и_расчеты!$F:$F,$E19)</f>
        <v>9617.4000000000015</v>
      </c>
      <c r="O19" s="38">
        <f>SUMIFS(условия_и_расчеты!R:R,условия_и_расчеты!$F:$F,$E19)</f>
        <v>10114.200000000001</v>
      </c>
      <c r="P19" s="38">
        <f>SUMIFS(условия_и_расчеты!S:S,условия_и_расчеты!$F:$F,$E19)</f>
        <v>10611</v>
      </c>
      <c r="Q19" s="38">
        <f>SUMIFS(условия_и_расчеты!T:T,условия_и_расчеты!$F:$F,$E19)</f>
        <v>11037.6</v>
      </c>
      <c r="R19" s="38">
        <f>SUMIFS(условия_и_расчеты!U:U,условия_и_расчеты!$F:$F,$E19)</f>
        <v>11572.2</v>
      </c>
      <c r="S19" s="38">
        <f>SUMIFS(условия_и_расчеты!V:V,условия_и_расчеты!$F:$F,$E19)</f>
        <v>12268.800000000001</v>
      </c>
      <c r="T19" s="38">
        <f>SUMIFS(условия_и_расчеты!W:W,условия_и_расчеты!$F:$F,$E19)</f>
        <v>12771</v>
      </c>
      <c r="U19" s="38">
        <f>SUMIFS(условия_и_расчеты!X:X,условия_и_расчеты!$F:$F,$E19)</f>
        <v>12938.4</v>
      </c>
      <c r="V19" s="38">
        <f>SUMIFS(условия_и_расчеты!Y:Y,условия_и_расчеты!$F:$F,$E19)</f>
        <v>13111.2</v>
      </c>
      <c r="W19" s="38">
        <f>SUMIFS(условия_и_расчеты!Z:Z,условия_и_расчеты!$F:$F,$E19)</f>
        <v>13219.2</v>
      </c>
      <c r="X19" s="38">
        <f>SUMIFS(условия_и_расчеты!AA:AA,условия_и_расчеты!$F:$F,$E19)</f>
        <v>13343.4</v>
      </c>
      <c r="Y19" s="38">
        <f>SUMIFS(условия_и_расчеты!AB:AB,условия_и_расчеты!$F:$F,$E19)</f>
        <v>13721.4</v>
      </c>
      <c r="Z19" s="38">
        <f>SUMIFS(условия_и_расчеты!AC:AC,условия_и_расчеты!$F:$F,$E19)</f>
        <v>13953.6</v>
      </c>
      <c r="AA19" s="38">
        <f>SUMIFS(условия_и_расчеты!AD:AD,условия_и_расчеты!$F:$F,$E19)</f>
        <v>13986</v>
      </c>
      <c r="AB19" s="38">
        <f>SUMIFS(условия_и_расчеты!AE:AE,условия_и_расчеты!$F:$F,$E19)</f>
        <v>13986</v>
      </c>
      <c r="AC19" s="38">
        <f>SUMIFS(условия_и_расчеты!AF:AF,условия_и_расчеты!$F:$F,$E19)</f>
        <v>13986</v>
      </c>
      <c r="AD19" s="38">
        <f>SUMIFS(условия_и_расчеты!AG:AG,условия_и_расчеты!$F:$F,$E19)</f>
        <v>13986</v>
      </c>
      <c r="AE19" s="38">
        <f>SUMIFS(условия_и_расчеты!AH:AH,условия_и_расчеты!$F:$F,$E19)</f>
        <v>13986</v>
      </c>
      <c r="AF19" s="38">
        <f>SUMIFS(условия_и_расчеты!AI:AI,условия_и_расчеты!$F:$F,$E19)</f>
        <v>13986</v>
      </c>
      <c r="AG19" s="38">
        <f>SUMIFS(условия_и_расчеты!AJ:AJ,условия_и_расчеты!$F:$F,$E19)</f>
        <v>13986</v>
      </c>
      <c r="AH19" s="38">
        <f>SUMIFS(условия_и_расчеты!AK:AK,условия_и_расчеты!$F:$F,$E19)</f>
        <v>13986</v>
      </c>
      <c r="AI19" s="1"/>
      <c r="AJ19" s="1"/>
    </row>
    <row r="20" spans="1:36" x14ac:dyDescent="0.25">
      <c r="A20" s="1"/>
      <c r="B20" s="1"/>
      <c r="C20" s="1"/>
      <c r="D20" s="1"/>
      <c r="E20" s="6" t="str">
        <f>KPI!$F$47</f>
        <v>маркетинговые расходы</v>
      </c>
      <c r="F20" s="1"/>
      <c r="G20" s="1"/>
      <c r="H20" s="1"/>
      <c r="I20" s="10"/>
      <c r="J20" s="38">
        <f>SUMIFS(условия_и_расчеты!M:M,условия_и_расчеты!$F:$F,$E20)</f>
        <v>10720</v>
      </c>
      <c r="K20" s="38">
        <f>SUMIFS(условия_и_расчеты!N:N,условия_и_расчеты!$F:$F,$E20)</f>
        <v>11360</v>
      </c>
      <c r="L20" s="38">
        <f>SUMIFS(условия_и_расчеты!O:O,условия_и_расчеты!$F:$F,$E20)</f>
        <v>11890</v>
      </c>
      <c r="M20" s="38">
        <f>SUMIFS(условия_и_расчеты!P:P,условия_и_расчеты!$F:$F,$E20)</f>
        <v>11930</v>
      </c>
      <c r="N20" s="38">
        <f>SUMIFS(условия_и_расчеты!Q:Q,условия_и_расчеты!$F:$F,$E20)</f>
        <v>12390</v>
      </c>
      <c r="O20" s="38">
        <f>SUMIFS(условия_и_расчеты!R:R,условия_и_расчеты!$F:$F,$E20)</f>
        <v>13420</v>
      </c>
      <c r="P20" s="38">
        <f>SUMIFS(условия_и_расчеты!S:S,условия_и_расчеты!$F:$F,$E20)</f>
        <v>13850</v>
      </c>
      <c r="Q20" s="38">
        <f>SUMIFS(условия_и_расчеты!T:T,условия_и_расчеты!$F:$F,$E20)</f>
        <v>14310</v>
      </c>
      <c r="R20" s="38">
        <f>SUMIFS(условия_и_расчеты!U:U,условия_и_расчеты!$F:$F,$E20)</f>
        <v>15030</v>
      </c>
      <c r="S20" s="38">
        <f>SUMIFS(условия_и_расчеты!V:V,условия_и_расчеты!$F:$F,$E20)</f>
        <v>15910</v>
      </c>
      <c r="T20" s="38">
        <f>SUMIFS(условия_и_расчеты!W:W,условия_и_расчеты!$F:$F,$E20)</f>
        <v>16180</v>
      </c>
      <c r="U20" s="38">
        <f>SUMIFS(условия_и_расчеты!X:X,условия_и_расчеты!$F:$F,$E20)</f>
        <v>16180</v>
      </c>
      <c r="V20" s="38">
        <f>SUMIFS(условия_и_расчеты!Y:Y,условия_и_расчеты!$F:$F,$E20)</f>
        <v>16590</v>
      </c>
      <c r="W20" s="38">
        <f>SUMIFS(условия_и_расчеты!Z:Z,условия_и_расчеты!$F:$F,$E20)</f>
        <v>16590</v>
      </c>
      <c r="X20" s="38">
        <f>SUMIFS(условия_и_расчеты!AA:AA,условия_и_расчеты!$F:$F,$E20)</f>
        <v>16820</v>
      </c>
      <c r="Y20" s="38">
        <f>SUMIFS(условия_и_расчеты!AB:AB,условия_и_расчеты!$F:$F,$E20)</f>
        <v>17500</v>
      </c>
      <c r="Z20" s="38">
        <f>SUMIFS(условия_и_расчеты!AC:AC,условия_и_расчеты!$F:$F,$E20)</f>
        <v>17500</v>
      </c>
      <c r="AA20" s="38">
        <f>SUMIFS(условия_и_расчеты!AD:AD,условия_и_расчеты!$F:$F,$E20)</f>
        <v>17500</v>
      </c>
      <c r="AB20" s="38">
        <f>SUMIFS(условия_и_расчеты!AE:AE,условия_и_расчеты!$F:$F,$E20)</f>
        <v>17500</v>
      </c>
      <c r="AC20" s="38">
        <f>SUMIFS(условия_и_расчеты!AF:AF,условия_и_расчеты!$F:$F,$E20)</f>
        <v>17500</v>
      </c>
      <c r="AD20" s="38">
        <f>SUMIFS(условия_и_расчеты!AG:AG,условия_и_расчеты!$F:$F,$E20)</f>
        <v>17500</v>
      </c>
      <c r="AE20" s="38">
        <f>SUMIFS(условия_и_расчеты!AH:AH,условия_и_расчеты!$F:$F,$E20)</f>
        <v>17500</v>
      </c>
      <c r="AF20" s="38">
        <f>SUMIFS(условия_и_расчеты!AI:AI,условия_и_расчеты!$F:$F,$E20)</f>
        <v>17500</v>
      </c>
      <c r="AG20" s="38">
        <f>SUMIFS(условия_и_расчеты!AJ:AJ,условия_и_расчеты!$F:$F,$E20)</f>
        <v>17500</v>
      </c>
      <c r="AH20" s="38">
        <f>SUMIFS(условия_и_расчеты!AK:AK,условия_и_расчеты!$F:$F,$E20)</f>
        <v>17500</v>
      </c>
      <c r="AI20" s="1"/>
      <c r="AJ20" s="1"/>
    </row>
    <row r="21" spans="1:36" x14ac:dyDescent="0.25">
      <c r="A21" s="1"/>
      <c r="B21" s="1"/>
      <c r="C21" s="1"/>
      <c r="D21" s="1"/>
      <c r="E21" s="6" t="str">
        <f>KPI!$F$52</f>
        <v>расходы на ТО парковочного оборудования</v>
      </c>
      <c r="F21" s="1"/>
      <c r="G21" s="1"/>
      <c r="H21" s="1"/>
      <c r="I21" s="10"/>
      <c r="J21" s="38">
        <f>SUMIFS(условия_и_расчеты!M:M,условия_и_расчеты!$F:$F,$E21)</f>
        <v>2256</v>
      </c>
      <c r="K21" s="38">
        <f>SUMIFS(условия_и_расчеты!N:N,условия_и_расчеты!$F:$F,$E21)</f>
        <v>2388</v>
      </c>
      <c r="L21" s="38">
        <f>SUMIFS(условия_и_расчеты!O:O,условия_и_расчеты!$F:$F,$E21)</f>
        <v>2502</v>
      </c>
      <c r="M21" s="38">
        <f>SUMIFS(условия_и_расчеты!P:P,условия_и_расчеты!$F:$F,$E21)</f>
        <v>2514</v>
      </c>
      <c r="N21" s="38">
        <f>SUMIFS(условия_и_расчеты!Q:Q,условия_и_расчеты!$F:$F,$E21)</f>
        <v>2622</v>
      </c>
      <c r="O21" s="38">
        <f>SUMIFS(условия_и_расчеты!R:R,условия_и_расчеты!$F:$F,$E21)</f>
        <v>2796</v>
      </c>
      <c r="P21" s="38">
        <f>SUMIFS(условия_и_расчеты!S:S,условия_и_расчеты!$F:$F,$E21)</f>
        <v>2910</v>
      </c>
      <c r="Q21" s="38">
        <f>SUMIFS(условия_и_расчеты!T:T,условия_и_расчеты!$F:$F,$E21)</f>
        <v>3018</v>
      </c>
      <c r="R21" s="38">
        <f>SUMIFS(условия_и_расчеты!U:U,условия_и_расчеты!$F:$F,$E21)</f>
        <v>3174</v>
      </c>
      <c r="S21" s="38">
        <f>SUMIFS(условия_и_расчеты!V:V,условия_и_расчеты!$F:$F,$E21)</f>
        <v>3378</v>
      </c>
      <c r="T21" s="38">
        <f>SUMIFS(условия_и_расчеты!W:W,условия_и_расчеты!$F:$F,$E21)</f>
        <v>3444</v>
      </c>
      <c r="U21" s="38">
        <f>SUMIFS(условия_и_расчеты!X:X,условия_и_расчеты!$F:$F,$E21)</f>
        <v>3444</v>
      </c>
      <c r="V21" s="38">
        <f>SUMIFS(условия_и_расчеты!Y:Y,условия_и_расчеты!$F:$F,$E21)</f>
        <v>3522</v>
      </c>
      <c r="W21" s="38">
        <f>SUMIFS(условия_и_расчеты!Z:Z,условия_и_расчеты!$F:$F,$E21)</f>
        <v>3522</v>
      </c>
      <c r="X21" s="38">
        <f>SUMIFS(условия_и_расчеты!AA:AA,условия_и_расчеты!$F:$F,$E21)</f>
        <v>3576</v>
      </c>
      <c r="Y21" s="38">
        <f>SUMIFS(условия_и_расчеты!AB:AB,условия_и_расчеты!$F:$F,$E21)</f>
        <v>3720</v>
      </c>
      <c r="Z21" s="38">
        <f>SUMIFS(условия_и_расчеты!AC:AC,условия_и_расчеты!$F:$F,$E21)</f>
        <v>3720</v>
      </c>
      <c r="AA21" s="38">
        <f>SUMIFS(условия_и_расчеты!AD:AD,условия_и_расчеты!$F:$F,$E21)</f>
        <v>3720</v>
      </c>
      <c r="AB21" s="38">
        <f>SUMIFS(условия_и_расчеты!AE:AE,условия_и_расчеты!$F:$F,$E21)</f>
        <v>3720</v>
      </c>
      <c r="AC21" s="38">
        <f>SUMIFS(условия_и_расчеты!AF:AF,условия_и_расчеты!$F:$F,$E21)</f>
        <v>3720</v>
      </c>
      <c r="AD21" s="38">
        <f>SUMIFS(условия_и_расчеты!AG:AG,условия_и_расчеты!$F:$F,$E21)</f>
        <v>3720</v>
      </c>
      <c r="AE21" s="38">
        <f>SUMIFS(условия_и_расчеты!AH:AH,условия_и_расчеты!$F:$F,$E21)</f>
        <v>3720</v>
      </c>
      <c r="AF21" s="38">
        <f>SUMIFS(условия_и_расчеты!AI:AI,условия_и_расчеты!$F:$F,$E21)</f>
        <v>3720</v>
      </c>
      <c r="AG21" s="38">
        <f>SUMIFS(условия_и_расчеты!AJ:AJ,условия_и_расчеты!$F:$F,$E21)</f>
        <v>3720</v>
      </c>
      <c r="AH21" s="38">
        <f>SUMIFS(условия_и_расчеты!AK:AK,условия_и_расчеты!$F:$F,$E21)</f>
        <v>3720</v>
      </c>
      <c r="AI21" s="1"/>
      <c r="AJ21" s="1"/>
    </row>
    <row r="22" spans="1:36" x14ac:dyDescent="0.25">
      <c r="A22" s="1"/>
      <c r="B22" s="1"/>
      <c r="C22" s="1"/>
      <c r="D22" s="1"/>
      <c r="E22" s="6" t="str">
        <f>KPI!$F$58</f>
        <v>ФОТ охранников</v>
      </c>
      <c r="F22" s="1"/>
      <c r="G22" s="1"/>
      <c r="H22" s="1"/>
      <c r="I22" s="10"/>
      <c r="J22" s="38">
        <f>SUMIFS(условия_и_расчеты!M:M,условия_и_расчеты!$F:$F,$E22)</f>
        <v>10540</v>
      </c>
      <c r="K22" s="38">
        <f>SUMIFS(условия_и_расчеты!N:N,условия_и_расчеты!$F:$F,$E22)</f>
        <v>11165</v>
      </c>
      <c r="L22" s="38">
        <f>SUMIFS(условия_и_расчеты!O:O,условия_и_расчеты!$F:$F,$E22)</f>
        <v>11690</v>
      </c>
      <c r="M22" s="38">
        <f>SUMIFS(условия_и_расчеты!P:P,условия_и_расчеты!$F:$F,$E22)</f>
        <v>11735</v>
      </c>
      <c r="N22" s="38">
        <f>SUMIFS(условия_и_расчеты!Q:Q,условия_и_расчеты!$F:$F,$E22)</f>
        <v>12205</v>
      </c>
      <c r="O22" s="38">
        <f>SUMIFS(условия_и_расчеты!R:R,условия_и_расчеты!$F:$F,$E22)</f>
        <v>13150</v>
      </c>
      <c r="P22" s="38">
        <f>SUMIFS(условия_и_расчеты!S:S,условия_и_расчеты!$F:$F,$E22)</f>
        <v>13610</v>
      </c>
      <c r="Q22" s="38">
        <f>SUMIFS(условия_и_расчеты!T:T,условия_и_расчеты!$F:$F,$E22)</f>
        <v>14080</v>
      </c>
      <c r="R22" s="38">
        <f>SUMIFS(условия_и_расчеты!U:U,условия_и_расчеты!$F:$F,$E22)</f>
        <v>14795</v>
      </c>
      <c r="S22" s="38">
        <f>SUMIFS(условия_и_расчеты!V:V,условия_и_расчеты!$F:$F,$E22)</f>
        <v>15690</v>
      </c>
      <c r="T22" s="38">
        <f>SUMIFS(условия_и_расчеты!W:W,условия_и_расчеты!$F:$F,$E22)</f>
        <v>15970</v>
      </c>
      <c r="U22" s="38">
        <f>SUMIFS(условия_и_расчеты!X:X,условия_и_расчеты!$F:$F,$E22)</f>
        <v>15970</v>
      </c>
      <c r="V22" s="38">
        <f>SUMIFS(условия_и_расчеты!Y:Y,условия_и_расчеты!$F:$F,$E22)</f>
        <v>16360</v>
      </c>
      <c r="W22" s="38">
        <f>SUMIFS(условия_и_расчеты!Z:Z,условия_и_расчеты!$F:$F,$E22)</f>
        <v>16360</v>
      </c>
      <c r="X22" s="38">
        <f>SUMIFS(условия_и_расчеты!AA:AA,условия_и_расчеты!$F:$F,$E22)</f>
        <v>16595</v>
      </c>
      <c r="Y22" s="38">
        <f>SUMIFS(условия_и_расчеты!AB:AB,условия_и_расчеты!$F:$F,$E22)</f>
        <v>17265</v>
      </c>
      <c r="Z22" s="38">
        <f>SUMIFS(условия_и_расчеты!AC:AC,условия_и_расчеты!$F:$F,$E22)</f>
        <v>17265</v>
      </c>
      <c r="AA22" s="38">
        <f>SUMIFS(условия_и_расчеты!AD:AD,условия_и_расчеты!$F:$F,$E22)</f>
        <v>17265</v>
      </c>
      <c r="AB22" s="38">
        <f>SUMIFS(условия_и_расчеты!AE:AE,условия_и_расчеты!$F:$F,$E22)</f>
        <v>17265</v>
      </c>
      <c r="AC22" s="38">
        <f>SUMIFS(условия_и_расчеты!AF:AF,условия_и_расчеты!$F:$F,$E22)</f>
        <v>17265</v>
      </c>
      <c r="AD22" s="38">
        <f>SUMIFS(условия_и_расчеты!AG:AG,условия_и_расчеты!$F:$F,$E22)</f>
        <v>17265</v>
      </c>
      <c r="AE22" s="38">
        <f>SUMIFS(условия_и_расчеты!AH:AH,условия_и_расчеты!$F:$F,$E22)</f>
        <v>17265</v>
      </c>
      <c r="AF22" s="38">
        <f>SUMIFS(условия_и_расчеты!AI:AI,условия_и_расчеты!$F:$F,$E22)</f>
        <v>17265</v>
      </c>
      <c r="AG22" s="38">
        <f>SUMIFS(условия_и_расчеты!AJ:AJ,условия_и_расчеты!$F:$F,$E22)</f>
        <v>17265</v>
      </c>
      <c r="AH22" s="38">
        <f>SUMIFS(условия_и_расчеты!AK:AK,условия_и_расчеты!$F:$F,$E22)</f>
        <v>17265</v>
      </c>
      <c r="AI22" s="1"/>
      <c r="AJ22" s="1"/>
    </row>
    <row r="23" spans="1:36" x14ac:dyDescent="0.25">
      <c r="A23" s="1"/>
      <c r="B23" s="1"/>
      <c r="C23" s="1"/>
      <c r="D23" s="1"/>
      <c r="E23" s="6" t="str">
        <f>KPI!$F$66</f>
        <v>ФОТ уборщиков</v>
      </c>
      <c r="F23" s="1"/>
      <c r="G23" s="1"/>
      <c r="H23" s="1"/>
      <c r="I23" s="10"/>
      <c r="J23" s="38">
        <f>SUMIFS(условия_и_расчеты!M:M,условия_и_расчеты!$F:$F,$E23)</f>
        <v>4604</v>
      </c>
      <c r="K23" s="38">
        <f>SUMIFS(условия_и_расчеты!N:N,условия_и_расчеты!$F:$F,$E23)</f>
        <v>4873</v>
      </c>
      <c r="L23" s="38">
        <f>SUMIFS(условия_и_расчеты!O:O,условия_и_расчеты!$F:$F,$E23)</f>
        <v>5106</v>
      </c>
      <c r="M23" s="38">
        <f>SUMIFS(условия_и_расчеты!P:P,условия_и_расчеты!$F:$F,$E23)</f>
        <v>5131</v>
      </c>
      <c r="N23" s="38">
        <f>SUMIFS(условия_и_расчеты!Q:Q,условия_и_расчеты!$F:$F,$E23)</f>
        <v>5353</v>
      </c>
      <c r="O23" s="38">
        <f>SUMIFS(условия_и_расчеты!R:R,условия_и_расчеты!$F:$F,$E23)</f>
        <v>5702</v>
      </c>
      <c r="P23" s="38">
        <f>SUMIFS(условия_и_расчеты!S:S,условия_и_расчеты!$F:$F,$E23)</f>
        <v>5938</v>
      </c>
      <c r="Q23" s="38">
        <f>SUMIFS(условия_и_расчеты!T:T,условия_и_расчеты!$F:$F,$E23)</f>
        <v>6160</v>
      </c>
      <c r="R23" s="38">
        <f>SUMIFS(условия_и_расчеты!U:U,условия_и_расчеты!$F:$F,$E23)</f>
        <v>6479</v>
      </c>
      <c r="S23" s="38">
        <f>SUMIFS(условия_и_расчеты!V:V,условия_и_расчеты!$F:$F,$E23)</f>
        <v>6898</v>
      </c>
      <c r="T23" s="38">
        <f>SUMIFS(условия_и_расчеты!W:W,условия_и_расчеты!$F:$F,$E23)</f>
        <v>7034</v>
      </c>
      <c r="U23" s="38">
        <f>SUMIFS(условия_и_расчеты!X:X,условия_и_расчеты!$F:$F,$E23)</f>
        <v>7034</v>
      </c>
      <c r="V23" s="38">
        <f>SUMIFS(условия_и_расчеты!Y:Y,условия_и_расчеты!$F:$F,$E23)</f>
        <v>7192</v>
      </c>
      <c r="W23" s="38">
        <f>SUMIFS(условия_и_расчеты!Z:Z,условия_и_расчеты!$F:$F,$E23)</f>
        <v>7192</v>
      </c>
      <c r="X23" s="38">
        <f>SUMIFS(условия_и_расчеты!AA:AA,условия_и_расчеты!$F:$F,$E23)</f>
        <v>7303</v>
      </c>
      <c r="Y23" s="38">
        <f>SUMIFS(условия_и_расчеты!AB:AB,условия_и_расчеты!$F:$F,$E23)</f>
        <v>7597</v>
      </c>
      <c r="Z23" s="38">
        <f>SUMIFS(условия_и_расчеты!AC:AC,условия_и_расчеты!$F:$F,$E23)</f>
        <v>7597</v>
      </c>
      <c r="AA23" s="38">
        <f>SUMIFS(условия_и_расчеты!AD:AD,условия_и_расчеты!$F:$F,$E23)</f>
        <v>7597</v>
      </c>
      <c r="AB23" s="38">
        <f>SUMIFS(условия_и_расчеты!AE:AE,условия_и_расчеты!$F:$F,$E23)</f>
        <v>7597</v>
      </c>
      <c r="AC23" s="38">
        <f>SUMIFS(условия_и_расчеты!AF:AF,условия_и_расчеты!$F:$F,$E23)</f>
        <v>7597</v>
      </c>
      <c r="AD23" s="38">
        <f>SUMIFS(условия_и_расчеты!AG:AG,условия_и_расчеты!$F:$F,$E23)</f>
        <v>7597</v>
      </c>
      <c r="AE23" s="38">
        <f>SUMIFS(условия_и_расчеты!AH:AH,условия_и_расчеты!$F:$F,$E23)</f>
        <v>7597</v>
      </c>
      <c r="AF23" s="38">
        <f>SUMIFS(условия_и_расчеты!AI:AI,условия_и_расчеты!$F:$F,$E23)</f>
        <v>7597</v>
      </c>
      <c r="AG23" s="38">
        <f>SUMIFS(условия_и_расчеты!AJ:AJ,условия_и_расчеты!$F:$F,$E23)</f>
        <v>7597</v>
      </c>
      <c r="AH23" s="38">
        <f>SUMIFS(условия_и_расчеты!AK:AK,условия_и_расчеты!$F:$F,$E23)</f>
        <v>7597</v>
      </c>
      <c r="AI23" s="1"/>
      <c r="AJ23" s="1"/>
    </row>
    <row r="24" spans="1:36" x14ac:dyDescent="0.25">
      <c r="A24" s="1"/>
      <c r="B24" s="1"/>
      <c r="C24" s="1"/>
      <c r="D24" s="1"/>
      <c r="E24" s="6" t="str">
        <f>KPI!$F$82</f>
        <v>ФОТ коммерческого персонала</v>
      </c>
      <c r="F24" s="1"/>
      <c r="G24" s="1"/>
      <c r="H24" s="1"/>
      <c r="I24" s="10"/>
      <c r="J24" s="38">
        <f>SUMIFS(условия_и_расчеты!M:M,условия_и_расчеты!$F:$F,$E24)</f>
        <v>3620</v>
      </c>
      <c r="K24" s="38">
        <f>SUMIFS(условия_и_расчеты!N:N,условия_и_расчеты!$F:$F,$E24)</f>
        <v>3820</v>
      </c>
      <c r="L24" s="38">
        <f>SUMIFS(условия_и_расчеты!O:O,условия_и_расчеты!$F:$F,$E24)</f>
        <v>3950</v>
      </c>
      <c r="M24" s="38">
        <f>SUMIFS(условия_и_расчеты!P:P,условия_и_расчеты!$F:$F,$E24)</f>
        <v>3950</v>
      </c>
      <c r="N24" s="38">
        <f>SUMIFS(условия_и_расчеты!Q:Q,условия_и_расчеты!$F:$F,$E24)</f>
        <v>4140</v>
      </c>
      <c r="O24" s="38">
        <f>SUMIFS(условия_и_расчеты!R:R,условия_и_расчеты!$F:$F,$E24)</f>
        <v>4490</v>
      </c>
      <c r="P24" s="38">
        <f>SUMIFS(условия_и_расчеты!S:S,условия_и_расчеты!$F:$F,$E24)</f>
        <v>4610</v>
      </c>
      <c r="Q24" s="38">
        <f>SUMIFS(условия_и_расчеты!T:T,условия_и_расчеты!$F:$F,$E24)</f>
        <v>4800</v>
      </c>
      <c r="R24" s="38">
        <f>SUMIFS(условия_и_расчеты!U:U,условия_и_расчеты!$F:$F,$E24)</f>
        <v>5000</v>
      </c>
      <c r="S24" s="38">
        <f>SUMIFS(условия_и_расчеты!V:V,условия_и_расчеты!$F:$F,$E24)</f>
        <v>5320</v>
      </c>
      <c r="T24" s="38">
        <f>SUMIFS(условия_и_расчеты!W:W,условия_и_расчеты!$F:$F,$E24)</f>
        <v>5450</v>
      </c>
      <c r="U24" s="38">
        <f>SUMIFS(условия_и_расчеты!X:X,условия_и_расчеты!$F:$F,$E24)</f>
        <v>5450</v>
      </c>
      <c r="V24" s="38">
        <f>SUMIFS(условия_и_расчеты!Y:Y,условия_и_расчеты!$F:$F,$E24)</f>
        <v>5580</v>
      </c>
      <c r="W24" s="38">
        <f>SUMIFS(условия_и_расчеты!Z:Z,условия_и_расчеты!$F:$F,$E24)</f>
        <v>5580</v>
      </c>
      <c r="X24" s="38">
        <f>SUMIFS(условия_и_расчеты!AA:AA,условия_и_расчеты!$F:$F,$E24)</f>
        <v>5650</v>
      </c>
      <c r="Y24" s="38">
        <f>SUMIFS(условия_и_расчеты!AB:AB,условия_и_расчеты!$F:$F,$E24)</f>
        <v>5910</v>
      </c>
      <c r="Z24" s="38">
        <f>SUMIFS(условия_и_расчеты!AC:AC,условия_и_расчеты!$F:$F,$E24)</f>
        <v>5910</v>
      </c>
      <c r="AA24" s="38">
        <f>SUMIFS(условия_и_расчеты!AD:AD,условия_и_расчеты!$F:$F,$E24)</f>
        <v>5910</v>
      </c>
      <c r="AB24" s="38">
        <f>SUMIFS(условия_и_расчеты!AE:AE,условия_и_расчеты!$F:$F,$E24)</f>
        <v>5910</v>
      </c>
      <c r="AC24" s="38">
        <f>SUMIFS(условия_и_расчеты!AF:AF,условия_и_расчеты!$F:$F,$E24)</f>
        <v>5910</v>
      </c>
      <c r="AD24" s="38">
        <f>SUMIFS(условия_и_расчеты!AG:AG,условия_и_расчеты!$F:$F,$E24)</f>
        <v>5910</v>
      </c>
      <c r="AE24" s="38">
        <f>SUMIFS(условия_и_расчеты!AH:AH,условия_и_расчеты!$F:$F,$E24)</f>
        <v>5910</v>
      </c>
      <c r="AF24" s="38">
        <f>SUMIFS(условия_и_расчеты!AI:AI,условия_и_расчеты!$F:$F,$E24)</f>
        <v>5910</v>
      </c>
      <c r="AG24" s="38">
        <f>SUMIFS(условия_и_расчеты!AJ:AJ,условия_и_расчеты!$F:$F,$E24)</f>
        <v>5910</v>
      </c>
      <c r="AH24" s="38">
        <f>SUMIFS(условия_и_расчеты!AK:AK,условия_и_расчеты!$F:$F,$E24)</f>
        <v>5910</v>
      </c>
      <c r="AI24" s="1"/>
      <c r="AJ24" s="1"/>
    </row>
    <row r="25" spans="1:36" x14ac:dyDescent="0.25">
      <c r="A25" s="1"/>
      <c r="B25" s="1"/>
      <c r="C25" s="1"/>
      <c r="D25" s="1"/>
      <c r="E25" s="1"/>
      <c r="F25" s="1"/>
      <c r="G25" s="1"/>
      <c r="H25" s="1"/>
      <c r="I25" s="1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"/>
      <c r="AJ25" s="1"/>
    </row>
    <row r="26" spans="1:36" s="8" customFormat="1" x14ac:dyDescent="0.25">
      <c r="A26" s="7"/>
      <c r="B26" s="7"/>
      <c r="C26" s="7"/>
      <c r="D26" s="7"/>
      <c r="E26" s="7" t="str">
        <f>структура!$D$21</f>
        <v>Маржинальная прибыль</v>
      </c>
      <c r="F26" s="7"/>
      <c r="G26" s="7"/>
      <c r="H26" s="7"/>
      <c r="I26" s="10"/>
      <c r="J26" s="17">
        <f>J14-J16</f>
        <v>13843.346227199996</v>
      </c>
      <c r="K26" s="17">
        <f t="shared" ref="K26:AH26" si="6">K14-K16</f>
        <v>10801.519679999998</v>
      </c>
      <c r="L26" s="17">
        <f t="shared" si="6"/>
        <v>14532.98936</v>
      </c>
      <c r="M26" s="17">
        <f t="shared" si="6"/>
        <v>15837.484423999995</v>
      </c>
      <c r="N26" s="17">
        <f t="shared" si="6"/>
        <v>17776.547864</v>
      </c>
      <c r="O26" s="17">
        <f t="shared" si="6"/>
        <v>18932.549753760002</v>
      </c>
      <c r="P26" s="17">
        <f t="shared" si="6"/>
        <v>21130.255076959998</v>
      </c>
      <c r="Q26" s="17">
        <f t="shared" si="6"/>
        <v>22627.599800960001</v>
      </c>
      <c r="R26" s="17">
        <f t="shared" si="6"/>
        <v>23635.445816799998</v>
      </c>
      <c r="S26" s="17">
        <f t="shared" si="6"/>
        <v>25227.241519999996</v>
      </c>
      <c r="T26" s="17">
        <f t="shared" si="6"/>
        <v>23325.895177600003</v>
      </c>
      <c r="U26" s="17">
        <f t="shared" si="6"/>
        <v>19555.307392000002</v>
      </c>
      <c r="V26" s="17">
        <f t="shared" si="6"/>
        <v>24844.731699199998</v>
      </c>
      <c r="W26" s="17">
        <f t="shared" si="6"/>
        <v>24120.895519999991</v>
      </c>
      <c r="X26" s="17">
        <f t="shared" si="6"/>
        <v>29947.181280000004</v>
      </c>
      <c r="Y26" s="17">
        <f t="shared" si="6"/>
        <v>33177.215951999999</v>
      </c>
      <c r="Z26" s="17">
        <f t="shared" si="6"/>
        <v>34099.775183999998</v>
      </c>
      <c r="AA26" s="17">
        <f t="shared" si="6"/>
        <v>35768.28304368</v>
      </c>
      <c r="AB26" s="17">
        <f t="shared" si="6"/>
        <v>36638.814037439995</v>
      </c>
      <c r="AC26" s="17">
        <f t="shared" si="6"/>
        <v>37144.283646719996</v>
      </c>
      <c r="AD26" s="17">
        <f t="shared" si="6"/>
        <v>33807.554356799999</v>
      </c>
      <c r="AE26" s="17">
        <f t="shared" si="6"/>
        <v>33201.305760000003</v>
      </c>
      <c r="AF26" s="17">
        <f t="shared" si="6"/>
        <v>30634.5909216</v>
      </c>
      <c r="AG26" s="17">
        <f t="shared" si="6"/>
        <v>26745.151872000002</v>
      </c>
      <c r="AH26" s="17">
        <f t="shared" si="6"/>
        <v>26241.256934400008</v>
      </c>
      <c r="AI26" s="17"/>
      <c r="AJ26" s="7"/>
    </row>
    <row r="27" spans="1:36" x14ac:dyDescent="0.25">
      <c r="A27" s="1"/>
      <c r="B27" s="1"/>
      <c r="C27" s="1"/>
      <c r="D27" s="1"/>
      <c r="E27" s="1"/>
      <c r="F27" s="1"/>
      <c r="G27" s="1"/>
      <c r="H27" s="1"/>
      <c r="I27" s="1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"/>
      <c r="AJ27" s="1"/>
    </row>
    <row r="28" spans="1:36" s="8" customFormat="1" x14ac:dyDescent="0.25">
      <c r="A28" s="7"/>
      <c r="B28" s="7"/>
      <c r="C28" s="7"/>
      <c r="D28" s="7"/>
      <c r="E28" s="7" t="str">
        <f>структура!$D$19</f>
        <v>Постоянные расходы</v>
      </c>
      <c r="F28" s="7"/>
      <c r="G28" s="7"/>
      <c r="H28" s="7"/>
      <c r="I28" s="10"/>
      <c r="J28" s="17">
        <f t="shared" ref="J28:AH28" si="7">SUM(J29:J33)</f>
        <v>16171.2</v>
      </c>
      <c r="K28" s="17">
        <f t="shared" si="7"/>
        <v>16499.400000000001</v>
      </c>
      <c r="L28" s="17">
        <f t="shared" si="7"/>
        <v>16703.400000000001</v>
      </c>
      <c r="M28" s="17">
        <f t="shared" si="7"/>
        <v>16662</v>
      </c>
      <c r="N28" s="17">
        <f t="shared" si="7"/>
        <v>16864.199999999997</v>
      </c>
      <c r="O28" s="17">
        <f t="shared" si="7"/>
        <v>17295</v>
      </c>
      <c r="P28" s="17">
        <f t="shared" si="7"/>
        <v>17777.400000000001</v>
      </c>
      <c r="Q28" s="17">
        <f t="shared" si="7"/>
        <v>17977.199999999997</v>
      </c>
      <c r="R28" s="17">
        <f t="shared" si="7"/>
        <v>18282.599999999999</v>
      </c>
      <c r="S28" s="17">
        <f t="shared" si="7"/>
        <v>18548.399999999998</v>
      </c>
      <c r="T28" s="17">
        <f t="shared" si="7"/>
        <v>18534.5</v>
      </c>
      <c r="U28" s="17">
        <f t="shared" si="7"/>
        <v>18306.199999999997</v>
      </c>
      <c r="V28" s="17">
        <f t="shared" si="7"/>
        <v>20233.2</v>
      </c>
      <c r="W28" s="17">
        <f t="shared" si="7"/>
        <v>20233.2</v>
      </c>
      <c r="X28" s="17">
        <f t="shared" si="7"/>
        <v>20288.28</v>
      </c>
      <c r="Y28" s="17">
        <f t="shared" si="7"/>
        <v>20585.760000000002</v>
      </c>
      <c r="Z28" s="17">
        <f t="shared" si="7"/>
        <v>20516.04</v>
      </c>
      <c r="AA28" s="17">
        <f t="shared" si="7"/>
        <v>20446.32</v>
      </c>
      <c r="AB28" s="17">
        <f t="shared" si="7"/>
        <v>20376.599999999999</v>
      </c>
      <c r="AC28" s="17">
        <f t="shared" si="7"/>
        <v>20306.879999999997</v>
      </c>
      <c r="AD28" s="17">
        <f t="shared" si="7"/>
        <v>20237.16</v>
      </c>
      <c r="AE28" s="17">
        <f t="shared" si="7"/>
        <v>19990.14</v>
      </c>
      <c r="AF28" s="17">
        <f t="shared" si="7"/>
        <v>19802.22</v>
      </c>
      <c r="AG28" s="17">
        <f t="shared" si="7"/>
        <v>19555.2</v>
      </c>
      <c r="AH28" s="17">
        <f t="shared" si="7"/>
        <v>20725.2</v>
      </c>
      <c r="AI28" s="7"/>
      <c r="AJ28" s="7"/>
    </row>
    <row r="29" spans="1:36" s="4" customFormat="1" ht="10.199999999999999" x14ac:dyDescent="0.2">
      <c r="A29" s="3"/>
      <c r="B29" s="3"/>
      <c r="C29" s="3"/>
      <c r="D29" s="3"/>
      <c r="E29" s="5" t="str">
        <f>структура!$H$9</f>
        <v>в т.ч.</v>
      </c>
      <c r="F29" s="3"/>
      <c r="G29" s="3"/>
      <c r="H29" s="3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3"/>
      <c r="AJ29" s="3"/>
    </row>
    <row r="30" spans="1:36" x14ac:dyDescent="0.25">
      <c r="A30" s="1"/>
      <c r="B30" s="1"/>
      <c r="C30" s="1"/>
      <c r="D30" s="1"/>
      <c r="E30" s="6" t="str">
        <f>KPI!$F$74</f>
        <v>ФОТ управленческого персонала</v>
      </c>
      <c r="F30" s="1"/>
      <c r="G30" s="1"/>
      <c r="H30" s="1"/>
      <c r="I30" s="10"/>
      <c r="J30" s="38">
        <f>SUMIFS(условия_и_расчеты!M:M,условия_и_расчеты!$F:$F,$E30)</f>
        <v>6240</v>
      </c>
      <c r="K30" s="38">
        <f>SUMIFS(условия_и_расчеты!N:N,условия_и_расчеты!$F:$F,$E30)</f>
        <v>6240</v>
      </c>
      <c r="L30" s="38">
        <f>SUMIFS(условия_и_расчеты!O:O,условия_и_расчеты!$F:$F,$E30)</f>
        <v>6240</v>
      </c>
      <c r="M30" s="38">
        <f>SUMIFS(условия_и_расчеты!P:P,условия_и_расчеты!$F:$F,$E30)</f>
        <v>6240</v>
      </c>
      <c r="N30" s="38">
        <f>SUMIFS(условия_и_расчеты!Q:Q,условия_и_расчеты!$F:$F,$E30)</f>
        <v>6240</v>
      </c>
      <c r="O30" s="38">
        <f>SUMIFS(условия_и_расчеты!R:R,условия_и_расчеты!$F:$F,$E30)</f>
        <v>6240</v>
      </c>
      <c r="P30" s="38">
        <f>SUMIFS(условия_и_расчеты!S:S,условия_и_расчеты!$F:$F,$E30)</f>
        <v>6480</v>
      </c>
      <c r="Q30" s="38">
        <f>SUMIFS(условия_и_расчеты!T:T,условия_и_расчеты!$F:$F,$E30)</f>
        <v>6480</v>
      </c>
      <c r="R30" s="38">
        <f>SUMIFS(условия_и_расчеты!U:U,условия_и_расчеты!$F:$F,$E30)</f>
        <v>6480</v>
      </c>
      <c r="S30" s="38">
        <f>SUMIFS(условия_и_расчеты!V:V,условия_и_расчеты!$F:$F,$E30)</f>
        <v>6480</v>
      </c>
      <c r="T30" s="38">
        <f>SUMIFS(условия_и_расчеты!W:W,условия_и_расчеты!$F:$F,$E30)</f>
        <v>6480</v>
      </c>
      <c r="U30" s="38">
        <f>SUMIFS(условия_и_расчеты!X:X,условия_и_расчеты!$F:$F,$E30)</f>
        <v>6480</v>
      </c>
      <c r="V30" s="38">
        <f>SUMIFS(условия_и_расчеты!Y:Y,условия_и_расчеты!$F:$F,$E30)</f>
        <v>6972</v>
      </c>
      <c r="W30" s="38">
        <f>SUMIFS(условия_и_расчеты!Z:Z,условия_и_расчеты!$F:$F,$E30)</f>
        <v>6972</v>
      </c>
      <c r="X30" s="38">
        <f>SUMIFS(условия_и_расчеты!AA:AA,условия_и_расчеты!$F:$F,$E30)</f>
        <v>6972</v>
      </c>
      <c r="Y30" s="38">
        <f>SUMIFS(условия_и_расчеты!AB:AB,условия_и_расчеты!$F:$F,$E30)</f>
        <v>6972</v>
      </c>
      <c r="Z30" s="38">
        <f>SUMIFS(условия_и_расчеты!AC:AC,условия_и_расчеты!$F:$F,$E30)</f>
        <v>6972</v>
      </c>
      <c r="AA30" s="38">
        <f>SUMIFS(условия_и_расчеты!AD:AD,условия_и_расчеты!$F:$F,$E30)</f>
        <v>6972</v>
      </c>
      <c r="AB30" s="38">
        <f>SUMIFS(условия_и_расчеты!AE:AE,условия_и_расчеты!$F:$F,$E30)</f>
        <v>6972</v>
      </c>
      <c r="AC30" s="38">
        <f>SUMIFS(условия_и_расчеты!AF:AF,условия_и_расчеты!$F:$F,$E30)</f>
        <v>6972</v>
      </c>
      <c r="AD30" s="38">
        <f>SUMIFS(условия_и_расчеты!AG:AG,условия_и_расчеты!$F:$F,$E30)</f>
        <v>6972</v>
      </c>
      <c r="AE30" s="38">
        <f>SUMIFS(условия_и_расчеты!AH:AH,условия_и_расчеты!$F:$F,$E30)</f>
        <v>6972</v>
      </c>
      <c r="AF30" s="38">
        <f>SUMIFS(условия_и_расчеты!AI:AI,условия_и_расчеты!$F:$F,$E30)</f>
        <v>6972</v>
      </c>
      <c r="AG30" s="38">
        <f>SUMIFS(условия_и_расчеты!AJ:AJ,условия_и_расчеты!$F:$F,$E30)</f>
        <v>6972</v>
      </c>
      <c r="AH30" s="38">
        <f>SUMIFS(условия_и_расчеты!AK:AK,условия_и_расчеты!$F:$F,$E30)</f>
        <v>6972</v>
      </c>
      <c r="AI30" s="1"/>
      <c r="AJ30" s="1"/>
    </row>
    <row r="31" spans="1:36" x14ac:dyDescent="0.25">
      <c r="A31" s="1"/>
      <c r="B31" s="1"/>
      <c r="C31" s="1"/>
      <c r="D31" s="1"/>
      <c r="E31" s="6" t="str">
        <f>KPI!$F$88</f>
        <v>начисление соцсборов</v>
      </c>
      <c r="F31" s="1"/>
      <c r="G31" s="1"/>
      <c r="H31" s="1"/>
      <c r="I31" s="10"/>
      <c r="J31" s="38">
        <f>SUMIFS(условия_и_расчеты!M:M,условия_и_расчеты!$F:$F,$E31)</f>
        <v>7501.2</v>
      </c>
      <c r="K31" s="38">
        <f>SUMIFS(условия_и_расчеты!N:N,условия_и_расчеты!$F:$F,$E31)</f>
        <v>7829.4</v>
      </c>
      <c r="L31" s="38">
        <f>SUMIFS(условия_и_расчеты!O:O,условия_и_расчеты!$F:$F,$E31)</f>
        <v>8033.4</v>
      </c>
      <c r="M31" s="38">
        <f>SUMIFS(условия_и_расчеты!P:P,условия_и_расчеты!$F:$F,$E31)</f>
        <v>7992</v>
      </c>
      <c r="N31" s="38">
        <f>SUMIFS(условия_и_расчеты!Q:Q,условия_и_расчеты!$F:$F,$E31)</f>
        <v>8194.1999999999989</v>
      </c>
      <c r="O31" s="38">
        <f>SUMIFS(условия_и_расчеты!R:R,условия_и_расчеты!$F:$F,$E31)</f>
        <v>8625</v>
      </c>
      <c r="P31" s="38">
        <f>SUMIFS(условия_и_расчеты!S:S,условия_и_расчеты!$F:$F,$E31)</f>
        <v>8867.4</v>
      </c>
      <c r="Q31" s="38">
        <f>SUMIFS(условия_и_расчеты!T:T,условия_и_расчеты!$F:$F,$E31)</f>
        <v>9067.1999999999989</v>
      </c>
      <c r="R31" s="38">
        <f>SUMIFS(условия_и_расчеты!U:U,условия_и_расчеты!$F:$F,$E31)</f>
        <v>9372.5999999999985</v>
      </c>
      <c r="S31" s="38">
        <f>SUMIFS(условия_и_расчеты!V:V,условия_и_расчеты!$F:$F,$E31)</f>
        <v>9638.3999999999978</v>
      </c>
      <c r="T31" s="38">
        <f>SUMIFS(условия_и_расчеты!W:W,условия_и_расчеты!$F:$F,$E31)</f>
        <v>9624.5</v>
      </c>
      <c r="U31" s="38">
        <f>SUMIFS(условия_и_расчеты!X:X,условия_и_расчеты!$F:$F,$E31)</f>
        <v>9396.1999999999989</v>
      </c>
      <c r="V31" s="38">
        <f>SUMIFS(условия_и_расчеты!Y:Y,условия_и_расчеты!$F:$F,$E31)</f>
        <v>10831.2</v>
      </c>
      <c r="W31" s="38">
        <f>SUMIFS(условия_и_расчеты!Z:Z,условия_и_расчеты!$F:$F,$E31)</f>
        <v>10831.2</v>
      </c>
      <c r="X31" s="38">
        <f>SUMIFS(условия_и_расчеты!AA:AA,условия_и_расчеты!$F:$F,$E31)</f>
        <v>10886.279999999999</v>
      </c>
      <c r="Y31" s="38">
        <f>SUMIFS(условия_и_расчеты!AB:AB,условия_и_расчеты!$F:$F,$E31)</f>
        <v>11183.76</v>
      </c>
      <c r="Z31" s="38">
        <f>SUMIFS(условия_и_расчеты!AC:AC,условия_и_расчеты!$F:$F,$E31)</f>
        <v>11114.04</v>
      </c>
      <c r="AA31" s="38">
        <f>SUMIFS(условия_и_расчеты!AD:AD,условия_и_расчеты!$F:$F,$E31)</f>
        <v>11044.32</v>
      </c>
      <c r="AB31" s="38">
        <f>SUMIFS(условия_и_расчеты!AE:AE,условия_и_расчеты!$F:$F,$E31)</f>
        <v>10974.6</v>
      </c>
      <c r="AC31" s="38">
        <f>SUMIFS(условия_и_расчеты!AF:AF,условия_и_расчеты!$F:$F,$E31)</f>
        <v>10904.88</v>
      </c>
      <c r="AD31" s="38">
        <f>SUMIFS(условия_и_расчеты!AG:AG,условия_и_расчеты!$F:$F,$E31)</f>
        <v>10835.16</v>
      </c>
      <c r="AE31" s="38">
        <f>SUMIFS(условия_и_расчеты!AH:AH,условия_и_расчеты!$F:$F,$E31)</f>
        <v>10588.140000000001</v>
      </c>
      <c r="AF31" s="38">
        <f>SUMIFS(условия_и_расчеты!AI:AI,условия_и_расчеты!$F:$F,$E31)</f>
        <v>10400.219999999999</v>
      </c>
      <c r="AG31" s="38">
        <f>SUMIFS(условия_и_расчеты!AJ:AJ,условия_и_расчеты!$F:$F,$E31)</f>
        <v>10153.200000000001</v>
      </c>
      <c r="AH31" s="38">
        <f>SUMIFS(условия_и_расчеты!AK:AK,условия_и_расчеты!$F:$F,$E31)</f>
        <v>11323.2</v>
      </c>
      <c r="AI31" s="1"/>
      <c r="AJ31" s="1"/>
    </row>
    <row r="32" spans="1:36" x14ac:dyDescent="0.25">
      <c r="A32" s="1"/>
      <c r="B32" s="1"/>
      <c r="C32" s="1"/>
      <c r="D32" s="1"/>
      <c r="E32" s="6" t="str">
        <f>KPI!$F$92</f>
        <v>аренда офиса</v>
      </c>
      <c r="F32" s="1"/>
      <c r="G32" s="1"/>
      <c r="H32" s="1"/>
      <c r="I32" s="10"/>
      <c r="J32" s="38">
        <f>SUMIFS(условия_и_расчеты!M:M,условия_и_расчеты!$F:$F,$E32)</f>
        <v>1450</v>
      </c>
      <c r="K32" s="38">
        <f>SUMIFS(условия_и_расчеты!N:N,условия_и_расчеты!$F:$F,$E32)</f>
        <v>1450</v>
      </c>
      <c r="L32" s="38">
        <f>SUMIFS(условия_и_расчеты!O:O,условия_и_расчеты!$F:$F,$E32)</f>
        <v>1450</v>
      </c>
      <c r="M32" s="38">
        <f>SUMIFS(условия_и_расчеты!P:P,условия_и_расчеты!$F:$F,$E32)</f>
        <v>1450</v>
      </c>
      <c r="N32" s="38">
        <f>SUMIFS(условия_и_расчеты!Q:Q,условия_и_расчеты!$F:$F,$E32)</f>
        <v>1450</v>
      </c>
      <c r="O32" s="38">
        <f>SUMIFS(условия_и_расчеты!R:R,условия_и_расчеты!$F:$F,$E32)</f>
        <v>1450</v>
      </c>
      <c r="P32" s="38">
        <f>SUMIFS(условия_и_расчеты!S:S,условия_и_расчеты!$F:$F,$E32)</f>
        <v>1450</v>
      </c>
      <c r="Q32" s="38">
        <f>SUMIFS(условия_и_расчеты!T:T,условия_и_расчеты!$F:$F,$E32)</f>
        <v>1450</v>
      </c>
      <c r="R32" s="38">
        <f>SUMIFS(условия_и_расчеты!U:U,условия_и_расчеты!$F:$F,$E32)</f>
        <v>1450</v>
      </c>
      <c r="S32" s="38">
        <f>SUMIFS(условия_и_расчеты!V:V,условия_и_расчеты!$F:$F,$E32)</f>
        <v>1450</v>
      </c>
      <c r="T32" s="38">
        <f>SUMIFS(условия_и_расчеты!W:W,условия_и_расчеты!$F:$F,$E32)</f>
        <v>1450</v>
      </c>
      <c r="U32" s="38">
        <f>SUMIFS(условия_и_расчеты!X:X,условия_и_расчеты!$F:$F,$E32)</f>
        <v>1450</v>
      </c>
      <c r="V32" s="38">
        <f>SUMIFS(условия_и_расчеты!Y:Y,условия_и_расчеты!$F:$F,$E32)</f>
        <v>1450</v>
      </c>
      <c r="W32" s="38">
        <f>SUMIFS(условия_и_расчеты!Z:Z,условия_и_расчеты!$F:$F,$E32)</f>
        <v>1450</v>
      </c>
      <c r="X32" s="38">
        <f>SUMIFS(условия_и_расчеты!AA:AA,условия_и_расчеты!$F:$F,$E32)</f>
        <v>1450</v>
      </c>
      <c r="Y32" s="38">
        <f>SUMIFS(условия_и_расчеты!AB:AB,условия_и_расчеты!$F:$F,$E32)</f>
        <v>1450</v>
      </c>
      <c r="Z32" s="38">
        <f>SUMIFS(условия_и_расчеты!AC:AC,условия_и_расчеты!$F:$F,$E32)</f>
        <v>1450</v>
      </c>
      <c r="AA32" s="38">
        <f>SUMIFS(условия_и_расчеты!AD:AD,условия_и_расчеты!$F:$F,$E32)</f>
        <v>1450</v>
      </c>
      <c r="AB32" s="38">
        <f>SUMIFS(условия_и_расчеты!AE:AE,условия_и_расчеты!$F:$F,$E32)</f>
        <v>1450</v>
      </c>
      <c r="AC32" s="38">
        <f>SUMIFS(условия_и_расчеты!AF:AF,условия_и_расчеты!$F:$F,$E32)</f>
        <v>1450</v>
      </c>
      <c r="AD32" s="38">
        <f>SUMIFS(условия_и_расчеты!AG:AG,условия_и_расчеты!$F:$F,$E32)</f>
        <v>1450</v>
      </c>
      <c r="AE32" s="38">
        <f>SUMIFS(условия_и_расчеты!AH:AH,условия_и_расчеты!$F:$F,$E32)</f>
        <v>1450</v>
      </c>
      <c r="AF32" s="38">
        <f>SUMIFS(условия_и_расчеты!AI:AI,условия_и_расчеты!$F:$F,$E32)</f>
        <v>1450</v>
      </c>
      <c r="AG32" s="38">
        <f>SUMIFS(условия_и_расчеты!AJ:AJ,условия_и_расчеты!$F:$F,$E32)</f>
        <v>1450</v>
      </c>
      <c r="AH32" s="38">
        <f>SUMIFS(условия_и_расчеты!AK:AK,условия_и_расчеты!$F:$F,$E32)</f>
        <v>1450</v>
      </c>
      <c r="AI32" s="1"/>
      <c r="AJ32" s="1"/>
    </row>
    <row r="33" spans="1:36" x14ac:dyDescent="0.25">
      <c r="A33" s="1"/>
      <c r="B33" s="1"/>
      <c r="C33" s="1"/>
      <c r="D33" s="1"/>
      <c r="E33" s="6" t="str">
        <f>KPI!$F$96</f>
        <v>прочие постоянные расходы</v>
      </c>
      <c r="F33" s="1"/>
      <c r="G33" s="1"/>
      <c r="H33" s="1"/>
      <c r="I33" s="10"/>
      <c r="J33" s="38">
        <f>SUMIFS(условия_и_расчеты!M:M,условия_и_расчеты!$F:$F,$E33)</f>
        <v>980</v>
      </c>
      <c r="K33" s="38">
        <f>SUMIFS(условия_и_расчеты!N:N,условия_и_расчеты!$F:$F,$E33)</f>
        <v>980</v>
      </c>
      <c r="L33" s="38">
        <f>SUMIFS(условия_и_расчеты!O:O,условия_и_расчеты!$F:$F,$E33)</f>
        <v>980</v>
      </c>
      <c r="M33" s="38">
        <f>SUMIFS(условия_и_расчеты!P:P,условия_и_расчеты!$F:$F,$E33)</f>
        <v>980</v>
      </c>
      <c r="N33" s="38">
        <f>SUMIFS(условия_и_расчеты!Q:Q,условия_и_расчеты!$F:$F,$E33)</f>
        <v>980</v>
      </c>
      <c r="O33" s="38">
        <f>SUMIFS(условия_и_расчеты!R:R,условия_и_расчеты!$F:$F,$E33)</f>
        <v>980</v>
      </c>
      <c r="P33" s="38">
        <f>SUMIFS(условия_и_расчеты!S:S,условия_и_расчеты!$F:$F,$E33)</f>
        <v>980</v>
      </c>
      <c r="Q33" s="38">
        <f>SUMIFS(условия_и_расчеты!T:T,условия_и_расчеты!$F:$F,$E33)</f>
        <v>980</v>
      </c>
      <c r="R33" s="38">
        <f>SUMIFS(условия_и_расчеты!U:U,условия_и_расчеты!$F:$F,$E33)</f>
        <v>980</v>
      </c>
      <c r="S33" s="38">
        <f>SUMIFS(условия_и_расчеты!V:V,условия_и_расчеты!$F:$F,$E33)</f>
        <v>980</v>
      </c>
      <c r="T33" s="38">
        <f>SUMIFS(условия_и_расчеты!W:W,условия_и_расчеты!$F:$F,$E33)</f>
        <v>980</v>
      </c>
      <c r="U33" s="38">
        <f>SUMIFS(условия_и_расчеты!X:X,условия_и_расчеты!$F:$F,$E33)</f>
        <v>980</v>
      </c>
      <c r="V33" s="38">
        <f>SUMIFS(условия_и_расчеты!Y:Y,условия_и_расчеты!$F:$F,$E33)</f>
        <v>980</v>
      </c>
      <c r="W33" s="38">
        <f>SUMIFS(условия_и_расчеты!Z:Z,условия_и_расчеты!$F:$F,$E33)</f>
        <v>980</v>
      </c>
      <c r="X33" s="38">
        <f>SUMIFS(условия_и_расчеты!AA:AA,условия_и_расчеты!$F:$F,$E33)</f>
        <v>980</v>
      </c>
      <c r="Y33" s="38">
        <f>SUMIFS(условия_и_расчеты!AB:AB,условия_и_расчеты!$F:$F,$E33)</f>
        <v>980</v>
      </c>
      <c r="Z33" s="38">
        <f>SUMIFS(условия_и_расчеты!AC:AC,условия_и_расчеты!$F:$F,$E33)</f>
        <v>980</v>
      </c>
      <c r="AA33" s="38">
        <f>SUMIFS(условия_и_расчеты!AD:AD,условия_и_расчеты!$F:$F,$E33)</f>
        <v>980</v>
      </c>
      <c r="AB33" s="38">
        <f>SUMIFS(условия_и_расчеты!AE:AE,условия_и_расчеты!$F:$F,$E33)</f>
        <v>980</v>
      </c>
      <c r="AC33" s="38">
        <f>SUMIFS(условия_и_расчеты!AF:AF,условия_и_расчеты!$F:$F,$E33)</f>
        <v>980</v>
      </c>
      <c r="AD33" s="38">
        <f>SUMIFS(условия_и_расчеты!AG:AG,условия_и_расчеты!$F:$F,$E33)</f>
        <v>980</v>
      </c>
      <c r="AE33" s="38">
        <f>SUMIFS(условия_и_расчеты!AH:AH,условия_и_расчеты!$F:$F,$E33)</f>
        <v>980</v>
      </c>
      <c r="AF33" s="38">
        <f>SUMIFS(условия_и_расчеты!AI:AI,условия_и_расчеты!$F:$F,$E33)</f>
        <v>980</v>
      </c>
      <c r="AG33" s="38">
        <f>SUMIFS(условия_и_расчеты!AJ:AJ,условия_и_расчеты!$F:$F,$E33)</f>
        <v>980</v>
      </c>
      <c r="AH33" s="38">
        <f>SUMIFS(условия_и_расчеты!AK:AK,условия_и_расчеты!$F:$F,$E33)</f>
        <v>980</v>
      </c>
      <c r="AI33" s="1"/>
      <c r="AJ33" s="1"/>
    </row>
    <row r="34" spans="1:36" x14ac:dyDescent="0.25">
      <c r="A34" s="1"/>
      <c r="B34" s="1"/>
      <c r="C34" s="1"/>
      <c r="D34" s="1"/>
      <c r="E34" s="1"/>
      <c r="F34" s="1"/>
      <c r="G34" s="1"/>
      <c r="H34" s="1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"/>
      <c r="AJ34" s="1"/>
    </row>
    <row r="35" spans="1:36" s="8" customFormat="1" x14ac:dyDescent="0.25">
      <c r="A35" s="7"/>
      <c r="B35" s="7"/>
      <c r="C35" s="7"/>
      <c r="D35" s="7"/>
      <c r="E35" s="7" t="str">
        <f>структура!$D$22</f>
        <v>Прибыль до налога на прибыль</v>
      </c>
      <c r="F35" s="7"/>
      <c r="G35" s="7"/>
      <c r="H35" s="7"/>
      <c r="I35" s="10"/>
      <c r="J35" s="17">
        <f>J26-J28</f>
        <v>-2327.8537728000047</v>
      </c>
      <c r="K35" s="17">
        <f t="shared" ref="K35:AH35" si="8">K26-K28</f>
        <v>-5697.8803200000038</v>
      </c>
      <c r="L35" s="17">
        <f t="shared" si="8"/>
        <v>-2170.4106400000019</v>
      </c>
      <c r="M35" s="17">
        <f t="shared" si="8"/>
        <v>-824.51557600000524</v>
      </c>
      <c r="N35" s="17">
        <f t="shared" si="8"/>
        <v>912.34786400000303</v>
      </c>
      <c r="O35" s="17">
        <f t="shared" si="8"/>
        <v>1637.5497537600022</v>
      </c>
      <c r="P35" s="17">
        <f t="shared" si="8"/>
        <v>3352.8550769599969</v>
      </c>
      <c r="Q35" s="17">
        <f t="shared" si="8"/>
        <v>4650.3998009600036</v>
      </c>
      <c r="R35" s="17">
        <f t="shared" si="8"/>
        <v>5352.8458167999997</v>
      </c>
      <c r="S35" s="17">
        <f t="shared" si="8"/>
        <v>6678.8415199999981</v>
      </c>
      <c r="T35" s="17">
        <f t="shared" si="8"/>
        <v>4791.3951776000031</v>
      </c>
      <c r="U35" s="17">
        <f t="shared" si="8"/>
        <v>1249.1073920000053</v>
      </c>
      <c r="V35" s="17">
        <f t="shared" si="8"/>
        <v>4611.5316991999971</v>
      </c>
      <c r="W35" s="17">
        <f t="shared" si="8"/>
        <v>3887.6955199999902</v>
      </c>
      <c r="X35" s="17">
        <f t="shared" si="8"/>
        <v>9658.9012800000055</v>
      </c>
      <c r="Y35" s="17">
        <f t="shared" si="8"/>
        <v>12591.455951999997</v>
      </c>
      <c r="Z35" s="17">
        <f t="shared" si="8"/>
        <v>13583.735183999997</v>
      </c>
      <c r="AA35" s="17">
        <f t="shared" si="8"/>
        <v>15321.96304368</v>
      </c>
      <c r="AB35" s="17">
        <f t="shared" si="8"/>
        <v>16262.214037439997</v>
      </c>
      <c r="AC35" s="17">
        <f t="shared" si="8"/>
        <v>16837.403646719999</v>
      </c>
      <c r="AD35" s="17">
        <f t="shared" si="8"/>
        <v>13570.3943568</v>
      </c>
      <c r="AE35" s="17">
        <f t="shared" si="8"/>
        <v>13211.165760000004</v>
      </c>
      <c r="AF35" s="17">
        <f t="shared" si="8"/>
        <v>10832.370921599999</v>
      </c>
      <c r="AG35" s="17">
        <f t="shared" si="8"/>
        <v>7189.9518720000015</v>
      </c>
      <c r="AH35" s="17">
        <f t="shared" si="8"/>
        <v>5516.0569344000069</v>
      </c>
      <c r="AI35" s="17"/>
      <c r="AJ35" s="7"/>
    </row>
    <row r="36" spans="1:36" x14ac:dyDescent="0.25">
      <c r="A36" s="1"/>
      <c r="B36" s="1"/>
      <c r="C36" s="1"/>
      <c r="D36" s="1"/>
      <c r="E36" s="1"/>
      <c r="F36" s="1"/>
      <c r="G36" s="1"/>
      <c r="H36" s="1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"/>
      <c r="AJ36" s="1"/>
    </row>
    <row r="37" spans="1:36" x14ac:dyDescent="0.25">
      <c r="A37" s="1"/>
      <c r="B37" s="1"/>
      <c r="C37" s="1"/>
      <c r="D37" s="1"/>
      <c r="E37" s="1"/>
      <c r="F37" s="1"/>
      <c r="G37" s="1"/>
      <c r="H37" s="1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"/>
      <c r="AJ37" s="1"/>
    </row>
    <row r="38" spans="1:36" x14ac:dyDescent="0.25">
      <c r="A38" s="1"/>
      <c r="B38" s="1"/>
      <c r="C38" s="1"/>
      <c r="D38" s="1"/>
      <c r="E38" s="1"/>
      <c r="F38" s="1"/>
      <c r="G38" s="1"/>
      <c r="H38" s="1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"/>
      <c r="AJ38" s="1"/>
    </row>
    <row r="39" spans="1:36" x14ac:dyDescent="0.25">
      <c r="A39" s="1"/>
      <c r="B39" s="1"/>
      <c r="C39" s="1"/>
      <c r="D39" s="1"/>
      <c r="E39" s="1"/>
      <c r="F39" s="1"/>
      <c r="G39" s="1"/>
      <c r="H39" s="1"/>
      <c r="I39" s="1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"/>
      <c r="AJ39" s="1"/>
    </row>
    <row r="40" spans="1:36" x14ac:dyDescent="0.25">
      <c r="A40" s="1"/>
      <c r="B40" s="1"/>
      <c r="C40" s="1"/>
      <c r="D40" s="1"/>
      <c r="E40" s="1"/>
      <c r="F40" s="1"/>
      <c r="G40" s="1"/>
      <c r="H40" s="1"/>
      <c r="I40" s="1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"/>
      <c r="AJ40" s="1"/>
    </row>
    <row r="41" spans="1:36" x14ac:dyDescent="0.25">
      <c r="A41" s="1"/>
      <c r="B41" s="1"/>
      <c r="C41" s="1"/>
      <c r="D41" s="1"/>
      <c r="E41" s="1"/>
      <c r="F41" s="1"/>
      <c r="G41" s="1"/>
      <c r="H41" s="1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"/>
      <c r="AJ41" s="1"/>
    </row>
    <row r="42" spans="1:36" x14ac:dyDescent="0.25">
      <c r="A42" s="1"/>
      <c r="B42" s="1"/>
      <c r="C42" s="1"/>
      <c r="D42" s="1"/>
      <c r="E42" s="1"/>
      <c r="F42" s="1"/>
      <c r="G42" s="1"/>
      <c r="H42" s="1"/>
      <c r="I42" s="1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"/>
      <c r="AJ42" s="1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"/>
      <c r="AJ44" s="1"/>
    </row>
    <row r="45" spans="1:36" x14ac:dyDescent="0.25">
      <c r="A45" s="1"/>
      <c r="B45" s="1"/>
      <c r="C45" s="1"/>
      <c r="D45" s="1"/>
      <c r="E45" s="1"/>
      <c r="F45" s="1"/>
      <c r="G45" s="1"/>
      <c r="H45" s="1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"/>
      <c r="AJ45" s="1"/>
    </row>
    <row r="46" spans="1:36" x14ac:dyDescent="0.25">
      <c r="A46" s="1"/>
      <c r="B46" s="1"/>
      <c r="C46" s="1"/>
      <c r="D46" s="1"/>
      <c r="E46" s="1"/>
      <c r="F46" s="1"/>
      <c r="G46" s="1"/>
      <c r="H46" s="1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1"/>
      <c r="B47" s="1"/>
      <c r="C47" s="1"/>
      <c r="D47" s="1"/>
      <c r="E47" s="1"/>
      <c r="F47" s="1"/>
      <c r="G47" s="1"/>
      <c r="H47" s="1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</sheetData>
  <conditionalFormatting sqref="J6:AH7">
    <cfRule type="containsBlanks" dxfId="8" priority="43">
      <formula>LEN(TRIM(J6))=0</formula>
    </cfRule>
  </conditionalFormatting>
  <conditionalFormatting sqref="J35:AH35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44"/>
  <sheetViews>
    <sheetView showGridLines="0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134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44378</v>
      </c>
      <c r="K6" s="15">
        <f>IF(J7="","",J7+1)</f>
        <v>44409</v>
      </c>
      <c r="L6" s="15">
        <f t="shared" ref="L6:AH6" si="2">IF(K7="","",K7+1)</f>
        <v>44440</v>
      </c>
      <c r="M6" s="15">
        <f t="shared" si="2"/>
        <v>44470</v>
      </c>
      <c r="N6" s="15">
        <f t="shared" si="2"/>
        <v>44501</v>
      </c>
      <c r="O6" s="15">
        <f t="shared" si="2"/>
        <v>44531</v>
      </c>
      <c r="P6" s="15">
        <f t="shared" si="2"/>
        <v>44562</v>
      </c>
      <c r="Q6" s="15">
        <f t="shared" si="2"/>
        <v>44593</v>
      </c>
      <c r="R6" s="15">
        <f t="shared" si="2"/>
        <v>44621</v>
      </c>
      <c r="S6" s="15">
        <f t="shared" si="2"/>
        <v>44652</v>
      </c>
      <c r="T6" s="15">
        <f t="shared" si="2"/>
        <v>44682</v>
      </c>
      <c r="U6" s="15">
        <f t="shared" si="2"/>
        <v>44713</v>
      </c>
      <c r="V6" s="15">
        <f t="shared" si="2"/>
        <v>44743</v>
      </c>
      <c r="W6" s="15">
        <f t="shared" si="2"/>
        <v>44774</v>
      </c>
      <c r="X6" s="15">
        <f t="shared" si="2"/>
        <v>44805</v>
      </c>
      <c r="Y6" s="15">
        <f t="shared" si="2"/>
        <v>44835</v>
      </c>
      <c r="Z6" s="15">
        <f t="shared" si="2"/>
        <v>44866</v>
      </c>
      <c r="AA6" s="15">
        <f t="shared" si="2"/>
        <v>44896</v>
      </c>
      <c r="AB6" s="15">
        <f t="shared" si="2"/>
        <v>44927</v>
      </c>
      <c r="AC6" s="15">
        <f t="shared" si="2"/>
        <v>44958</v>
      </c>
      <c r="AD6" s="15">
        <f t="shared" si="2"/>
        <v>44986</v>
      </c>
      <c r="AE6" s="15">
        <f t="shared" si="2"/>
        <v>45017</v>
      </c>
      <c r="AF6" s="15">
        <f t="shared" si="2"/>
        <v>45047</v>
      </c>
      <c r="AG6" s="15">
        <f t="shared" si="2"/>
        <v>45078</v>
      </c>
      <c r="AH6" s="15">
        <f t="shared" si="2"/>
        <v>45108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44408</v>
      </c>
      <c r="K7" s="15">
        <f t="shared" ref="K7:AH7" si="3">IF(K6="","",EOMONTH(K6,0))</f>
        <v>44439</v>
      </c>
      <c r="L7" s="15">
        <f t="shared" si="3"/>
        <v>44469</v>
      </c>
      <c r="M7" s="15">
        <f t="shared" si="3"/>
        <v>44500</v>
      </c>
      <c r="N7" s="15">
        <f t="shared" si="3"/>
        <v>44530</v>
      </c>
      <c r="O7" s="15">
        <f t="shared" si="3"/>
        <v>44561</v>
      </c>
      <c r="P7" s="15">
        <f t="shared" si="3"/>
        <v>44592</v>
      </c>
      <c r="Q7" s="15">
        <f t="shared" si="3"/>
        <v>44620</v>
      </c>
      <c r="R7" s="15">
        <f t="shared" si="3"/>
        <v>44651</v>
      </c>
      <c r="S7" s="15">
        <f t="shared" si="3"/>
        <v>44681</v>
      </c>
      <c r="T7" s="15">
        <f t="shared" si="3"/>
        <v>44712</v>
      </c>
      <c r="U7" s="15">
        <f t="shared" si="3"/>
        <v>44742</v>
      </c>
      <c r="V7" s="15">
        <f t="shared" si="3"/>
        <v>44773</v>
      </c>
      <c r="W7" s="15">
        <f t="shared" si="3"/>
        <v>44804</v>
      </c>
      <c r="X7" s="15">
        <f t="shared" si="3"/>
        <v>44834</v>
      </c>
      <c r="Y7" s="15">
        <f t="shared" si="3"/>
        <v>44865</v>
      </c>
      <c r="Z7" s="15">
        <f t="shared" si="3"/>
        <v>44895</v>
      </c>
      <c r="AA7" s="15">
        <f t="shared" si="3"/>
        <v>44926</v>
      </c>
      <c r="AB7" s="15">
        <f t="shared" si="3"/>
        <v>44957</v>
      </c>
      <c r="AC7" s="15">
        <f t="shared" si="3"/>
        <v>44985</v>
      </c>
      <c r="AD7" s="15">
        <f t="shared" si="3"/>
        <v>45016</v>
      </c>
      <c r="AE7" s="15">
        <f t="shared" si="3"/>
        <v>45046</v>
      </c>
      <c r="AF7" s="15">
        <f t="shared" si="3"/>
        <v>45077</v>
      </c>
      <c r="AG7" s="15">
        <f t="shared" si="3"/>
        <v>45107</v>
      </c>
      <c r="AH7" s="15">
        <f t="shared" si="3"/>
        <v>45138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x14ac:dyDescent="0.25">
      <c r="A9" s="1"/>
      <c r="B9" s="1"/>
      <c r="C9" s="1"/>
      <c r="D9" s="1"/>
      <c r="E9" s="36" t="str">
        <f>структура!$D$24</f>
        <v>Остаток ДС на начало периода</v>
      </c>
      <c r="F9" s="1"/>
      <c r="G9" s="1"/>
      <c r="H9" s="1"/>
      <c r="I9" s="10"/>
      <c r="J9" s="18">
        <v>0</v>
      </c>
      <c r="K9" s="18">
        <f>J13</f>
        <v>11253.687311360001</v>
      </c>
      <c r="L9" s="18">
        <f t="shared" ref="L9:AH9" si="4">K13</f>
        <v>6034.0575884800055</v>
      </c>
      <c r="M9" s="18">
        <f t="shared" si="4"/>
        <v>-269.11659279999731</v>
      </c>
      <c r="N9" s="18">
        <f t="shared" si="4"/>
        <v>-3609.5094476000086</v>
      </c>
      <c r="O9" s="18">
        <f t="shared" si="4"/>
        <v>-3728.4713580000243</v>
      </c>
      <c r="P9" s="18">
        <f t="shared" si="4"/>
        <v>-2304.8297435120185</v>
      </c>
      <c r="Q9" s="18">
        <f t="shared" si="4"/>
        <v>-30.834912568025175</v>
      </c>
      <c r="R9" s="18">
        <f t="shared" si="4"/>
        <v>3766.7268682719878</v>
      </c>
      <c r="S9" s="18">
        <f t="shared" si="4"/>
        <v>10812.614497623974</v>
      </c>
      <c r="T9" s="18">
        <f t="shared" si="4"/>
        <v>17656.75549799997</v>
      </c>
      <c r="U9" s="18">
        <f t="shared" si="4"/>
        <v>24223.920130559956</v>
      </c>
      <c r="V9" s="18">
        <f t="shared" si="4"/>
        <v>28677.510553119981</v>
      </c>
      <c r="W9" s="18">
        <f t="shared" si="4"/>
        <v>34353.327939040013</v>
      </c>
      <c r="X9" s="18">
        <f t="shared" si="4"/>
        <v>38585.705398560021</v>
      </c>
      <c r="Y9" s="18">
        <f t="shared" si="4"/>
        <v>43194.788824480071</v>
      </c>
      <c r="Z9" s="18">
        <f t="shared" si="4"/>
        <v>53525.243262080083</v>
      </c>
      <c r="AA9" s="18">
        <f t="shared" si="4"/>
        <v>65657.533708480114</v>
      </c>
      <c r="AB9" s="18">
        <f t="shared" si="4"/>
        <v>79088.438362264118</v>
      </c>
      <c r="AC9" s="18">
        <f t="shared" si="4"/>
        <v>94235.937169664117</v>
      </c>
      <c r="AD9" s="18">
        <f t="shared" si="4"/>
        <v>110439.61158819213</v>
      </c>
      <c r="AE9" s="18">
        <f t="shared" si="4"/>
        <v>127059.63180948813</v>
      </c>
      <c r="AF9" s="18">
        <f t="shared" si="4"/>
        <v>140933.38666544011</v>
      </c>
      <c r="AG9" s="18">
        <f t="shared" si="4"/>
        <v>154076.84154320008</v>
      </c>
      <c r="AH9" s="18">
        <f t="shared" si="4"/>
        <v>164971.41199616008</v>
      </c>
      <c r="AI9" s="1"/>
      <c r="AJ9" s="1"/>
    </row>
    <row r="10" spans="1:36" s="8" customFormat="1" x14ac:dyDescent="0.25">
      <c r="A10" s="7"/>
      <c r="B10" s="7"/>
      <c r="C10" s="7"/>
      <c r="D10" s="7"/>
      <c r="E10" s="7" t="str">
        <f>KPI!$F$18</f>
        <v>поступления ДС от клиентов</v>
      </c>
      <c r="F10" s="7"/>
      <c r="G10" s="7"/>
      <c r="H10" s="7"/>
      <c r="I10" s="10"/>
      <c r="J10" s="17">
        <f>SUMIFS(условия_и_расчеты!M:M,условия_и_расчеты!$F:$F,$E10)</f>
        <v>82977.600000000006</v>
      </c>
      <c r="K10" s="17">
        <f>SUMIFS(условия_и_расчеты!N:N,условия_и_расчеты!$F:$F,$E10)</f>
        <v>114553.60000000001</v>
      </c>
      <c r="L10" s="17">
        <f>SUMIFS(условия_и_расчеты!O:O,условия_и_расчеты!$F:$F,$E10)</f>
        <v>123822.14</v>
      </c>
      <c r="M10" s="17">
        <f>SUMIFS(условия_и_расчеты!P:P,условия_и_расчеты!$F:$F,$E10)</f>
        <v>127134.22</v>
      </c>
      <c r="N10" s="17">
        <f>SUMIFS(условия_и_расчеты!Q:Q,условия_и_расчеты!$F:$F,$E10)</f>
        <v>133088</v>
      </c>
      <c r="O10" s="17">
        <f>SUMIFS(условия_и_расчеты!R:R,условия_и_расчеты!$F:$F,$E10)</f>
        <v>139654.32</v>
      </c>
      <c r="P10" s="17">
        <f>SUMIFS(условия_и_расчеты!S:S,условия_и_расчеты!$F:$F,$E10)</f>
        <v>146266.68</v>
      </c>
      <c r="Q10" s="17">
        <f>SUMIFS(условия_и_расчеты!T:T,условия_и_расчеты!$F:$F,$E10)</f>
        <v>152625.38</v>
      </c>
      <c r="R10" s="17">
        <f>SUMIFS(условия_и_расчеты!U:U,условия_и_расчеты!$F:$F,$E10)</f>
        <v>162089.12</v>
      </c>
      <c r="S10" s="17">
        <f>SUMIFS(условия_и_расчеты!V:V,условия_и_расчеты!$F:$F,$E10)</f>
        <v>173171.4</v>
      </c>
      <c r="T10" s="17">
        <f>SUMIFS(условия_и_расчеты!W:W,условия_и_расчеты!$F:$F,$E10)</f>
        <v>179175.96</v>
      </c>
      <c r="U10" s="17">
        <f>SUMIFS(условия_и_расчеты!X:X,условия_и_расчеты!$F:$F,$E10)</f>
        <v>180640.58000000002</v>
      </c>
      <c r="V10" s="17">
        <f>SUMIFS(условия_и_расчеты!Y:Y,условия_и_расчеты!$F:$F,$E10)</f>
        <v>187550.16000000003</v>
      </c>
      <c r="W10" s="17">
        <f>SUMIFS(условия_и_расчеты!Z:Z,условия_и_расчеты!$F:$F,$E10)</f>
        <v>189785.56000000003</v>
      </c>
      <c r="X10" s="17">
        <f>SUMIFS(условия_и_расчеты!AA:AA,условия_и_расчеты!$F:$F,$E10)</f>
        <v>192371.92000000004</v>
      </c>
      <c r="Y10" s="17">
        <f>SUMIFS(условия_и_расчеты!AB:AB,условия_и_расчеты!$F:$F,$E10)</f>
        <v>198796.96000000002</v>
      </c>
      <c r="Z10" s="17">
        <f>SUMIFS(условия_и_расчеты!AC:AC,условия_и_расчеты!$F:$F,$E10)</f>
        <v>200788.00000000003</v>
      </c>
      <c r="AA10" s="17">
        <f>SUMIFS(условия_и_расчеты!AD:AD,условия_и_расчеты!$F:$F,$E10)</f>
        <v>201052.80000000002</v>
      </c>
      <c r="AB10" s="17">
        <f>SUMIFS(условия_и_расчеты!AE:AE,условия_и_расчеты!$F:$F,$E10)</f>
        <v>201162.40000000002</v>
      </c>
      <c r="AC10" s="17">
        <f>SUMIFS(условия_и_расчеты!AF:AF,условия_и_расчеты!$F:$F,$E10)</f>
        <v>201240</v>
      </c>
      <c r="AD10" s="17">
        <f>SUMIFS(условия_и_расчеты!AG:AG,условия_и_расчеты!$F:$F,$E10)</f>
        <v>201240</v>
      </c>
      <c r="AE10" s="17">
        <f>SUMIFS(условия_и_расчеты!AH:AH,условия_и_расчеты!$F:$F,$E10)</f>
        <v>201240</v>
      </c>
      <c r="AF10" s="17">
        <f>SUMIFS(условия_и_расчеты!AI:AI,условия_и_расчеты!$F:$F,$E10)</f>
        <v>201240</v>
      </c>
      <c r="AG10" s="17">
        <f>SUMIFS(условия_и_расчеты!AJ:AJ,условия_и_расчеты!$F:$F,$E10)</f>
        <v>201240</v>
      </c>
      <c r="AH10" s="17">
        <f>SUMIFS(условия_и_расчеты!AK:AK,условия_и_расчеты!$F:$F,$E10)</f>
        <v>201240</v>
      </c>
      <c r="AI10" s="7"/>
      <c r="AJ10" s="7"/>
    </row>
    <row r="11" spans="1:36" s="8" customFormat="1" x14ac:dyDescent="0.25">
      <c r="A11" s="7"/>
      <c r="B11" s="7"/>
      <c r="C11" s="7"/>
      <c r="D11" s="7"/>
      <c r="E11" s="7" t="str">
        <f>структура!$D$15</f>
        <v>Списания ДС</v>
      </c>
      <c r="F11" s="7"/>
      <c r="G11" s="7"/>
      <c r="H11" s="7"/>
      <c r="I11" s="10"/>
      <c r="J11" s="17">
        <f>J15+J17+J27</f>
        <v>71723.912688640004</v>
      </c>
      <c r="K11" s="17">
        <f t="shared" ref="K11:AH11" si="5">K15+K17+K27</f>
        <v>119773.22972288</v>
      </c>
      <c r="L11" s="17">
        <f t="shared" si="5"/>
        <v>130125.31418128</v>
      </c>
      <c r="M11" s="17">
        <f t="shared" si="5"/>
        <v>130474.61285480001</v>
      </c>
      <c r="N11" s="17">
        <f t="shared" si="5"/>
        <v>133206.96191040002</v>
      </c>
      <c r="O11" s="17">
        <f t="shared" si="5"/>
        <v>138230.678385512</v>
      </c>
      <c r="P11" s="17">
        <f t="shared" si="5"/>
        <v>143992.685169056</v>
      </c>
      <c r="Q11" s="17">
        <f t="shared" si="5"/>
        <v>148827.81821915999</v>
      </c>
      <c r="R11" s="17">
        <f t="shared" si="5"/>
        <v>155043.23237064801</v>
      </c>
      <c r="S11" s="17">
        <f t="shared" si="5"/>
        <v>166327.258999624</v>
      </c>
      <c r="T11" s="17">
        <f t="shared" si="5"/>
        <v>172608.79536744001</v>
      </c>
      <c r="U11" s="17">
        <f t="shared" si="5"/>
        <v>176186.98957743999</v>
      </c>
      <c r="V11" s="17">
        <f t="shared" si="5"/>
        <v>181874.34261408</v>
      </c>
      <c r="W11" s="17">
        <f t="shared" si="5"/>
        <v>185553.18254048002</v>
      </c>
      <c r="X11" s="17">
        <f t="shared" si="5"/>
        <v>187762.83657407999</v>
      </c>
      <c r="Y11" s="17">
        <f t="shared" si="5"/>
        <v>188466.50556240001</v>
      </c>
      <c r="Z11" s="17">
        <f t="shared" si="5"/>
        <v>188655.7095536</v>
      </c>
      <c r="AA11" s="17">
        <f t="shared" si="5"/>
        <v>187621.89534621601</v>
      </c>
      <c r="AB11" s="17">
        <f t="shared" si="5"/>
        <v>186014.90119260002</v>
      </c>
      <c r="AC11" s="17">
        <f t="shared" si="5"/>
        <v>185036.32558147199</v>
      </c>
      <c r="AD11" s="17">
        <f t="shared" si="5"/>
        <v>184619.979778704</v>
      </c>
      <c r="AE11" s="17">
        <f t="shared" si="5"/>
        <v>187366.24514404801</v>
      </c>
      <c r="AF11" s="17">
        <f t="shared" si="5"/>
        <v>188096.54512224003</v>
      </c>
      <c r="AG11" s="17">
        <f t="shared" si="5"/>
        <v>190345.42954704</v>
      </c>
      <c r="AH11" s="17">
        <f t="shared" si="5"/>
        <v>193686.29896992003</v>
      </c>
      <c r="AI11" s="7"/>
      <c r="AJ11" s="7"/>
    </row>
    <row r="12" spans="1:36" s="8" customFormat="1" x14ac:dyDescent="0.25">
      <c r="A12" s="7"/>
      <c r="B12" s="7"/>
      <c r="C12" s="7"/>
      <c r="D12" s="7"/>
      <c r="E12" s="7" t="str">
        <f>структура!$D$25</f>
        <v>Финансовый поток</v>
      </c>
      <c r="F12" s="7"/>
      <c r="G12" s="7"/>
      <c r="H12" s="7"/>
      <c r="I12" s="10"/>
      <c r="J12" s="17">
        <f>J10-J11</f>
        <v>11253.687311360001</v>
      </c>
      <c r="K12" s="17">
        <f t="shared" ref="K12:AH12" si="6">K10-K11</f>
        <v>-5219.6297228799958</v>
      </c>
      <c r="L12" s="17">
        <f t="shared" si="6"/>
        <v>-6303.1741812800028</v>
      </c>
      <c r="M12" s="17">
        <f t="shared" si="6"/>
        <v>-3340.3928548000113</v>
      </c>
      <c r="N12" s="17">
        <f t="shared" si="6"/>
        <v>-118.96191040001577</v>
      </c>
      <c r="O12" s="17">
        <f t="shared" si="6"/>
        <v>1423.6416144880059</v>
      </c>
      <c r="P12" s="17">
        <f t="shared" si="6"/>
        <v>2273.9948309439933</v>
      </c>
      <c r="Q12" s="17">
        <f t="shared" si="6"/>
        <v>3797.5617808400129</v>
      </c>
      <c r="R12" s="17">
        <f t="shared" si="6"/>
        <v>7045.8876293519861</v>
      </c>
      <c r="S12" s="17">
        <f t="shared" si="6"/>
        <v>6844.1410003759956</v>
      </c>
      <c r="T12" s="17">
        <f t="shared" si="6"/>
        <v>6567.1646325599868</v>
      </c>
      <c r="U12" s="17">
        <f t="shared" si="6"/>
        <v>4453.5904225600243</v>
      </c>
      <c r="V12" s="17">
        <f t="shared" si="6"/>
        <v>5675.8173859200324</v>
      </c>
      <c r="W12" s="17">
        <f t="shared" si="6"/>
        <v>4232.3774595200084</v>
      </c>
      <c r="X12" s="17">
        <f t="shared" si="6"/>
        <v>4609.0834259200492</v>
      </c>
      <c r="Y12" s="17">
        <f t="shared" si="6"/>
        <v>10330.454437600012</v>
      </c>
      <c r="Z12" s="17">
        <f t="shared" si="6"/>
        <v>12132.290446400031</v>
      </c>
      <c r="AA12" s="17">
        <f t="shared" si="6"/>
        <v>13430.904653784004</v>
      </c>
      <c r="AB12" s="17">
        <f t="shared" si="6"/>
        <v>15147.498807399999</v>
      </c>
      <c r="AC12" s="17">
        <f t="shared" si="6"/>
        <v>16203.674418528011</v>
      </c>
      <c r="AD12" s="17">
        <f t="shared" si="6"/>
        <v>16620.020221295999</v>
      </c>
      <c r="AE12" s="17">
        <f t="shared" si="6"/>
        <v>13873.754855951993</v>
      </c>
      <c r="AF12" s="17">
        <f t="shared" si="6"/>
        <v>13143.45487775997</v>
      </c>
      <c r="AG12" s="17">
        <f t="shared" si="6"/>
        <v>10894.570452960004</v>
      </c>
      <c r="AH12" s="17">
        <f t="shared" si="6"/>
        <v>7553.7010300799739</v>
      </c>
      <c r="AI12" s="7"/>
      <c r="AJ12" s="7"/>
    </row>
    <row r="13" spans="1:36" x14ac:dyDescent="0.25">
      <c r="A13" s="1"/>
      <c r="B13" s="1"/>
      <c r="C13" s="1"/>
      <c r="D13" s="1"/>
      <c r="E13" s="36" t="str">
        <f>структура!$D$26</f>
        <v>Остаток ДС на конец периода</v>
      </c>
      <c r="F13" s="1"/>
      <c r="G13" s="1"/>
      <c r="H13" s="1"/>
      <c r="I13" s="10"/>
      <c r="J13" s="18">
        <f>J9+J12</f>
        <v>11253.687311360001</v>
      </c>
      <c r="K13" s="18">
        <f t="shared" ref="K13:AH13" si="7">K9+K12</f>
        <v>6034.0575884800055</v>
      </c>
      <c r="L13" s="18">
        <f t="shared" si="7"/>
        <v>-269.11659279999731</v>
      </c>
      <c r="M13" s="18">
        <f t="shared" si="7"/>
        <v>-3609.5094476000086</v>
      </c>
      <c r="N13" s="18">
        <f t="shared" si="7"/>
        <v>-3728.4713580000243</v>
      </c>
      <c r="O13" s="18">
        <f t="shared" si="7"/>
        <v>-2304.8297435120185</v>
      </c>
      <c r="P13" s="18">
        <f t="shared" si="7"/>
        <v>-30.834912568025175</v>
      </c>
      <c r="Q13" s="18">
        <f t="shared" si="7"/>
        <v>3766.7268682719878</v>
      </c>
      <c r="R13" s="18">
        <f t="shared" si="7"/>
        <v>10812.614497623974</v>
      </c>
      <c r="S13" s="18">
        <f t="shared" si="7"/>
        <v>17656.75549799997</v>
      </c>
      <c r="T13" s="18">
        <f t="shared" si="7"/>
        <v>24223.920130559956</v>
      </c>
      <c r="U13" s="18">
        <f t="shared" si="7"/>
        <v>28677.510553119981</v>
      </c>
      <c r="V13" s="18">
        <f t="shared" si="7"/>
        <v>34353.327939040013</v>
      </c>
      <c r="W13" s="18">
        <f t="shared" si="7"/>
        <v>38585.705398560021</v>
      </c>
      <c r="X13" s="18">
        <f t="shared" si="7"/>
        <v>43194.788824480071</v>
      </c>
      <c r="Y13" s="18">
        <f t="shared" si="7"/>
        <v>53525.243262080083</v>
      </c>
      <c r="Z13" s="18">
        <f t="shared" si="7"/>
        <v>65657.533708480114</v>
      </c>
      <c r="AA13" s="18">
        <f t="shared" si="7"/>
        <v>79088.438362264118</v>
      </c>
      <c r="AB13" s="18">
        <f t="shared" si="7"/>
        <v>94235.937169664117</v>
      </c>
      <c r="AC13" s="18">
        <f t="shared" si="7"/>
        <v>110439.61158819213</v>
      </c>
      <c r="AD13" s="18">
        <f t="shared" si="7"/>
        <v>127059.63180948813</v>
      </c>
      <c r="AE13" s="18">
        <f t="shared" si="7"/>
        <v>140933.38666544011</v>
      </c>
      <c r="AF13" s="18">
        <f t="shared" si="7"/>
        <v>154076.84154320008</v>
      </c>
      <c r="AG13" s="18">
        <f t="shared" si="7"/>
        <v>164971.41199616008</v>
      </c>
      <c r="AH13" s="18">
        <f t="shared" si="7"/>
        <v>172525.11302624005</v>
      </c>
      <c r="AI13" s="1"/>
      <c r="AJ13" s="1"/>
    </row>
    <row r="14" spans="1:36" x14ac:dyDescent="0.25">
      <c r="A14" s="1"/>
      <c r="B14" s="1"/>
      <c r="C14" s="1"/>
      <c r="D14" s="1"/>
      <c r="E14" s="1"/>
      <c r="F14" s="1"/>
      <c r="G14" s="1"/>
      <c r="H14" s="1"/>
      <c r="I14" s="1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"/>
      <c r="AJ14" s="1"/>
    </row>
    <row r="15" spans="1:36" s="8" customFormat="1" x14ac:dyDescent="0.25">
      <c r="A15" s="7"/>
      <c r="B15" s="7"/>
      <c r="C15" s="7"/>
      <c r="D15" s="7"/>
      <c r="E15" s="7" t="str">
        <f>KPI!$F$23</f>
        <v>списания ДС владельцам парковок за аренду м/мест</v>
      </c>
      <c r="F15" s="7"/>
      <c r="G15" s="7"/>
      <c r="H15" s="7"/>
      <c r="I15" s="10"/>
      <c r="J15" s="17">
        <f>SUMIFS(условия_и_расчеты!M:M,условия_и_расчеты!$F:$F,$E15)</f>
        <v>50400</v>
      </c>
      <c r="K15" s="17">
        <f>SUMIFS(условия_и_расчеты!N:N,условия_и_расчеты!$F:$F,$E15)</f>
        <v>58880</v>
      </c>
      <c r="L15" s="17">
        <f>SUMIFS(условия_и_расчеты!O:O,условия_и_расчеты!$F:$F,$E15)</f>
        <v>61810</v>
      </c>
      <c r="M15" s="17">
        <f>SUMIFS(условия_и_расчеты!P:P,условия_и_расчеты!$F:$F,$E15)</f>
        <v>62460</v>
      </c>
      <c r="N15" s="17">
        <f>SUMIFS(условия_и_расчеты!Q:Q,условия_и_расчеты!$F:$F,$E15)</f>
        <v>65200</v>
      </c>
      <c r="O15" s="17">
        <f>SUMIFS(условия_и_расчеты!R:R,условия_и_расчеты!$F:$F,$E15)</f>
        <v>68290</v>
      </c>
      <c r="P15" s="17">
        <f>SUMIFS(условия_и_расчеты!S:S,условия_и_расчеты!$F:$F,$E15)</f>
        <v>71750</v>
      </c>
      <c r="Q15" s="17">
        <f>SUMIFS(условия_и_расчеты!T:T,условия_и_расчеты!$F:$F,$E15)</f>
        <v>74800</v>
      </c>
      <c r="R15" s="17">
        <f>SUMIFS(условия_и_расчеты!U:U,условия_и_расчеты!$F:$F,$E15)</f>
        <v>78700</v>
      </c>
      <c r="S15" s="17">
        <f>SUMIFS(условия_и_расчеты!V:V,условия_и_расчеты!$F:$F,$E15)</f>
        <v>84140</v>
      </c>
      <c r="T15" s="17">
        <f>SUMIFS(условия_и_расчеты!W:W,условия_и_расчеты!$F:$F,$E15)</f>
        <v>86410</v>
      </c>
      <c r="U15" s="17">
        <f>SUMIFS(условия_и_расчеты!X:X,условия_и_расчеты!$F:$F,$E15)</f>
        <v>86600</v>
      </c>
      <c r="V15" s="17">
        <f>SUMIFS(условия_и_расчеты!Y:Y,условия_и_расчеты!$F:$F,$E15)</f>
        <v>88130</v>
      </c>
      <c r="W15" s="17">
        <f>SUMIFS(условия_и_расчеты!Z:Z,условия_и_расчеты!$F:$F,$E15)</f>
        <v>88300</v>
      </c>
      <c r="X15" s="17">
        <f>SUMIFS(условия_и_расчеты!AA:AA,условия_и_расчеты!$F:$F,$E15)</f>
        <v>89650</v>
      </c>
      <c r="Y15" s="17">
        <f>SUMIFS(условия_и_расчеты!AB:AB,условия_и_расчеты!$F:$F,$E15)</f>
        <v>93040</v>
      </c>
      <c r="Z15" s="17">
        <f>SUMIFS(условия_и_расчеты!AC:AC,условия_и_расчеты!$F:$F,$E15)</f>
        <v>93400</v>
      </c>
      <c r="AA15" s="17">
        <f>SUMIFS(условия_и_расчеты!AD:AD,условия_и_расчеты!$F:$F,$E15)</f>
        <v>93400</v>
      </c>
      <c r="AB15" s="17">
        <f>SUMIFS(условия_и_расчеты!AE:AE,условия_и_расчеты!$F:$F,$E15)</f>
        <v>93400</v>
      </c>
      <c r="AC15" s="17">
        <f>SUMIFS(условия_и_расчеты!AF:AF,условия_и_расчеты!$F:$F,$E15)</f>
        <v>93400</v>
      </c>
      <c r="AD15" s="17">
        <f>SUMIFS(условия_и_расчеты!AG:AG,условия_и_расчеты!$F:$F,$E15)</f>
        <v>93400</v>
      </c>
      <c r="AE15" s="17">
        <f>SUMIFS(условия_и_расчеты!AH:AH,условия_и_расчеты!$F:$F,$E15)</f>
        <v>93400</v>
      </c>
      <c r="AF15" s="17">
        <f>SUMIFS(условия_и_расчеты!AI:AI,условия_и_расчеты!$F:$F,$E15)</f>
        <v>93400</v>
      </c>
      <c r="AG15" s="17">
        <f>SUMIFS(условия_и_расчеты!AJ:AJ,условия_и_расчеты!$F:$F,$E15)</f>
        <v>93400</v>
      </c>
      <c r="AH15" s="17">
        <f>SUMIFS(условия_и_расчеты!AK:AK,условия_и_расчеты!$F:$F,$E15)</f>
        <v>93400</v>
      </c>
      <c r="AI15" s="7"/>
      <c r="AJ15" s="7"/>
    </row>
    <row r="16" spans="1:36" x14ac:dyDescent="0.25">
      <c r="A16" s="1"/>
      <c r="B16" s="1"/>
      <c r="C16" s="1"/>
      <c r="D16" s="1"/>
      <c r="E16" s="1"/>
      <c r="F16" s="1"/>
      <c r="G16" s="1"/>
      <c r="H16" s="1"/>
      <c r="I16" s="1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"/>
      <c r="AJ16" s="1"/>
    </row>
    <row r="17" spans="1:36" s="8" customFormat="1" x14ac:dyDescent="0.25">
      <c r="A17" s="7"/>
      <c r="B17" s="7"/>
      <c r="C17" s="7"/>
      <c r="D17" s="7"/>
      <c r="E17" s="7" t="str">
        <f>структура!$D$27</f>
        <v>Оплата переменных расходов</v>
      </c>
      <c r="F17" s="7"/>
      <c r="G17" s="7"/>
      <c r="H17" s="7"/>
      <c r="I17" s="10"/>
      <c r="J17" s="17">
        <f>SUM(J18:J25)</f>
        <v>16263.912688639999</v>
      </c>
      <c r="K17" s="17">
        <f t="shared" ref="K17:AH17" si="8">SUM(K18:K25)</f>
        <v>44722.029722880005</v>
      </c>
      <c r="L17" s="17">
        <f t="shared" si="8"/>
        <v>51815.914181280001</v>
      </c>
      <c r="M17" s="17">
        <f t="shared" si="8"/>
        <v>51311.212854800004</v>
      </c>
      <c r="N17" s="17">
        <f t="shared" si="8"/>
        <v>51344.961910400001</v>
      </c>
      <c r="O17" s="17">
        <f t="shared" si="8"/>
        <v>53076.478385512004</v>
      </c>
      <c r="P17" s="17">
        <f t="shared" si="8"/>
        <v>54827.685169056</v>
      </c>
      <c r="Q17" s="17">
        <f t="shared" si="8"/>
        <v>56250.418219159998</v>
      </c>
      <c r="R17" s="17">
        <f t="shared" si="8"/>
        <v>58366.032370647998</v>
      </c>
      <c r="S17" s="17">
        <f t="shared" si="8"/>
        <v>63904.658999624</v>
      </c>
      <c r="T17" s="17">
        <f t="shared" si="8"/>
        <v>67650.395367439996</v>
      </c>
      <c r="U17" s="17">
        <f t="shared" si="8"/>
        <v>71052.489577439992</v>
      </c>
      <c r="V17" s="17">
        <f t="shared" si="8"/>
        <v>75192.142614080003</v>
      </c>
      <c r="W17" s="17">
        <f t="shared" si="8"/>
        <v>77019.982540480007</v>
      </c>
      <c r="X17" s="17">
        <f t="shared" si="8"/>
        <v>77879.636574079996</v>
      </c>
      <c r="Y17" s="17">
        <f t="shared" si="8"/>
        <v>75138.225562399995</v>
      </c>
      <c r="Z17" s="17">
        <f t="shared" si="8"/>
        <v>74669.949553600003</v>
      </c>
      <c r="AA17" s="17">
        <f t="shared" si="8"/>
        <v>73705.855346216005</v>
      </c>
      <c r="AB17" s="17">
        <f t="shared" si="8"/>
        <v>72168.581192600002</v>
      </c>
      <c r="AC17" s="17">
        <f t="shared" si="8"/>
        <v>71259.725581471997</v>
      </c>
      <c r="AD17" s="17">
        <f t="shared" si="8"/>
        <v>70913.099778703996</v>
      </c>
      <c r="AE17" s="17">
        <f t="shared" si="8"/>
        <v>73729.085144048004</v>
      </c>
      <c r="AF17" s="17">
        <f t="shared" si="8"/>
        <v>74706.405122240001</v>
      </c>
      <c r="AG17" s="17">
        <f t="shared" si="8"/>
        <v>77143.209547039995</v>
      </c>
      <c r="AH17" s="17">
        <f t="shared" si="8"/>
        <v>80731.09896992</v>
      </c>
      <c r="AI17" s="7"/>
      <c r="AJ17" s="7"/>
    </row>
    <row r="18" spans="1:36" s="4" customFormat="1" ht="10.199999999999999" x14ac:dyDescent="0.2">
      <c r="A18" s="3"/>
      <c r="B18" s="3"/>
      <c r="C18" s="3"/>
      <c r="D18" s="3"/>
      <c r="E18" s="5" t="str">
        <f>структура!$H$9</f>
        <v>в т.ч.</v>
      </c>
      <c r="F18" s="3"/>
      <c r="G18" s="3"/>
      <c r="H18" s="3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3"/>
      <c r="AJ18" s="3"/>
    </row>
    <row r="19" spans="1:36" x14ac:dyDescent="0.25">
      <c r="A19" s="1"/>
      <c r="B19" s="1"/>
      <c r="C19" s="1"/>
      <c r="D19" s="1"/>
      <c r="E19" s="6" t="str">
        <f>KPI!$F$31</f>
        <v>коммунальные платежи</v>
      </c>
      <c r="F19" s="1"/>
      <c r="G19" s="1"/>
      <c r="H19" s="1"/>
      <c r="I19" s="10"/>
      <c r="J19" s="38">
        <f>SUMIFS(условия_и_расчеты!M:M,условия_и_расчеты!$F:$F,$E19)</f>
        <v>471.35268864000011</v>
      </c>
      <c r="K19" s="38">
        <f>SUMIFS(условия_и_расчеты!N:N,условия_и_расчеты!$F:$F,$E19)</f>
        <v>8532.4297228800006</v>
      </c>
      <c r="L19" s="38">
        <f>SUMIFS(условия_и_расчеты!O:O,условия_и_расчеты!$F:$F,$E19)</f>
        <v>10136.674181280003</v>
      </c>
      <c r="M19" s="38">
        <f>SUMIFS(условия_и_расчеты!P:P,условия_и_расчеты!$F:$F,$E19)</f>
        <v>7521.0328548000007</v>
      </c>
      <c r="N19" s="38">
        <f>SUMIFS(условия_и_расчеты!Q:Q,условия_и_расчеты!$F:$F,$E19)</f>
        <v>6120.4219104000003</v>
      </c>
      <c r="O19" s="38">
        <f>SUMIFS(условия_и_расчеты!R:R,условия_и_расчеты!$F:$F,$E19)</f>
        <v>5488.758385512001</v>
      </c>
      <c r="P19" s="38">
        <f>SUMIFS(условия_и_расчеты!S:S,условия_и_расчеты!$F:$F,$E19)</f>
        <v>4606.3051690560005</v>
      </c>
      <c r="Q19" s="38">
        <f>SUMIFS(условия_и_расчеты!T:T,условия_и_расчеты!$F:$F,$E19)</f>
        <v>4097.4982191600002</v>
      </c>
      <c r="R19" s="38">
        <f>SUMIFS(условия_и_расчеты!U:U,условия_и_расчеты!$F:$F,$E19)</f>
        <v>3989.6723706480002</v>
      </c>
      <c r="S19" s="38">
        <f>SUMIFS(условия_и_расчеты!V:V,условия_и_расчеты!$F:$F,$E19)</f>
        <v>6597.078999624001</v>
      </c>
      <c r="T19" s="38">
        <f>SUMIFS(условия_и_расчеты!W:W,условия_и_расчеты!$F:$F,$E19)</f>
        <v>7886.0553674400007</v>
      </c>
      <c r="U19" s="38">
        <f>SUMIFS(условия_и_расчеты!X:X,условия_и_расчеты!$F:$F,$E19)</f>
        <v>10327.149577439999</v>
      </c>
      <c r="V19" s="38">
        <f>SUMIFS(условия_и_расчеты!Y:Y,условия_и_расчеты!$F:$F,$E19)</f>
        <v>13682.762614079998</v>
      </c>
      <c r="W19" s="38">
        <f>SUMIFS(условия_и_расчеты!Z:Z,условия_и_расчеты!$F:$F,$E19)</f>
        <v>14733.282540480001</v>
      </c>
      <c r="X19" s="38">
        <f>SUMIFS(условия_и_расчеты!AA:AA,условия_и_расчеты!$F:$F,$E19)</f>
        <v>15086.796574079999</v>
      </c>
      <c r="Y19" s="38">
        <f>SUMIFS(условия_и_расчеты!AB:AB,условия_и_расчеты!$F:$F,$E19)</f>
        <v>10865.665562399998</v>
      </c>
      <c r="Z19" s="38">
        <f>SUMIFS(условия_и_расчеты!AC:AC,условия_и_расчеты!$F:$F,$E19)</f>
        <v>9041.2495536000006</v>
      </c>
      <c r="AA19" s="38">
        <f>SUMIFS(условия_и_расчеты!AD:AD,условия_и_расчеты!$F:$F,$E19)</f>
        <v>7825.0553462160015</v>
      </c>
      <c r="AB19" s="38">
        <f>SUMIFS(условия_и_расчеты!AE:AE,условия_и_расчеты!$F:$F,$E19)</f>
        <v>6220.2811925999995</v>
      </c>
      <c r="AC19" s="38">
        <f>SUMIFS(условия_и_расчеты!AF:AF,условия_и_расчеты!$F:$F,$E19)</f>
        <v>5284.9655814720008</v>
      </c>
      <c r="AD19" s="38">
        <f>SUMIFS(условия_и_расчеты!AG:AG,условия_и_расчеты!$F:$F,$E19)</f>
        <v>4935.0997787040005</v>
      </c>
      <c r="AE19" s="38">
        <f>SUMIFS(условия_и_расчеты!AH:AH,условия_и_расчеты!$F:$F,$E19)</f>
        <v>7751.0851440480019</v>
      </c>
      <c r="AF19" s="38">
        <f>SUMIFS(условия_и_расчеты!AI:AI,условия_и_расчеты!$F:$F,$E19)</f>
        <v>8728.405122240003</v>
      </c>
      <c r="AG19" s="38">
        <f>SUMIFS(условия_и_расчеты!AJ:AJ,условия_и_расчеты!$F:$F,$E19)</f>
        <v>11165.209547039998</v>
      </c>
      <c r="AH19" s="38">
        <f>SUMIFS(условия_и_расчеты!AK:AK,условия_и_расчеты!$F:$F,$E19)</f>
        <v>14753.098969920002</v>
      </c>
      <c r="AI19" s="1"/>
      <c r="AJ19" s="1"/>
    </row>
    <row r="20" spans="1:36" x14ac:dyDescent="0.25">
      <c r="A20" s="1"/>
      <c r="B20" s="1"/>
      <c r="C20" s="1"/>
      <c r="D20" s="1"/>
      <c r="E20" s="6" t="str">
        <f>KPI!$F$45</f>
        <v>оплата эксплуатационных расходов</v>
      </c>
      <c r="F20" s="1"/>
      <c r="G20" s="1"/>
      <c r="H20" s="1"/>
      <c r="I20" s="10"/>
      <c r="J20" s="38">
        <f>SUMIFS(условия_и_расчеты!M:M,условия_и_расчеты!$F:$F,$E20)</f>
        <v>2734.5599999999995</v>
      </c>
      <c r="K20" s="38">
        <f>SUMIFS(условия_и_расчеты!N:N,условия_и_расчеты!$F:$F,$E20)</f>
        <v>5826.6</v>
      </c>
      <c r="L20" s="38">
        <f>SUMIFS(условия_и_расчеты!O:O,условия_и_расчеты!$F:$F,$E20)</f>
        <v>7563.24</v>
      </c>
      <c r="M20" s="38">
        <f>SUMIFS(условия_и_расчеты!P:P,условия_и_расчеты!$F:$F,$E20)</f>
        <v>8703.18</v>
      </c>
      <c r="N20" s="38">
        <f>SUMIFS(условия_и_расчеты!Q:Q,условия_и_расчеты!$F:$F,$E20)</f>
        <v>9369.5400000000009</v>
      </c>
      <c r="O20" s="38">
        <f>SUMIFS(условия_и_расчеты!R:R,условия_и_расчеты!$F:$F,$E20)</f>
        <v>9837.7200000000012</v>
      </c>
      <c r="P20" s="38">
        <f>SUMIFS(условия_и_расчеты!S:S,условия_и_расчеты!$F:$F,$E20)</f>
        <v>10285.380000000001</v>
      </c>
      <c r="Q20" s="38">
        <f>SUMIFS(условия_и_расчеты!T:T,условия_и_расчеты!$F:$F,$E20)</f>
        <v>10717.92</v>
      </c>
      <c r="R20" s="38">
        <f>SUMIFS(условия_и_расчеты!U:U,условия_и_расчеты!$F:$F,$E20)</f>
        <v>11223.36</v>
      </c>
      <c r="S20" s="38">
        <f>SUMIFS(условия_и_расчеты!V:V,условия_и_расчеты!$F:$F,$E20)</f>
        <v>11840.58</v>
      </c>
      <c r="T20" s="38">
        <f>SUMIFS(условия_и_расчеты!W:W,условия_и_расчеты!$F:$F,$E20)</f>
        <v>12377.34</v>
      </c>
      <c r="U20" s="38">
        <f>SUMIFS(условия_и_расчеты!X:X,условия_и_расчеты!$F:$F,$E20)</f>
        <v>12701.34</v>
      </c>
      <c r="V20" s="38">
        <f>SUMIFS(условия_и_расчеты!Y:Y,условия_и_расчеты!$F:$F,$E20)</f>
        <v>12958.380000000001</v>
      </c>
      <c r="W20" s="38">
        <f>SUMIFS(условия_и_расчеты!Z:Z,условия_и_расчеты!$F:$F,$E20)</f>
        <v>13124.7</v>
      </c>
      <c r="X20" s="38">
        <f>SUMIFS(условия_и_расчеты!AA:AA,условия_и_расчеты!$F:$F,$E20)</f>
        <v>13254.84</v>
      </c>
      <c r="Y20" s="38">
        <f>SUMIFS(условия_и_расчеты!AB:AB,условия_и_расчеты!$F:$F,$E20)</f>
        <v>13534.56</v>
      </c>
      <c r="Z20" s="38">
        <f>SUMIFS(условия_и_расчеты!AC:AC,условия_и_расчеты!$F:$F,$E20)</f>
        <v>13772.7</v>
      </c>
      <c r="AA20" s="38">
        <f>SUMIFS(условия_и_расчеты!AD:AD,условия_и_расчеты!$F:$F,$E20)</f>
        <v>13888.800000000001</v>
      </c>
      <c r="AB20" s="38">
        <f>SUMIFS(условия_и_расчеты!AE:AE,условия_и_расчеты!$F:$F,$E20)</f>
        <v>13956.300000000001</v>
      </c>
      <c r="AC20" s="38">
        <f>SUMIFS(условия_и_расчеты!AF:AF,условия_и_расчеты!$F:$F,$E20)</f>
        <v>13982.76</v>
      </c>
      <c r="AD20" s="38">
        <f>SUMIFS(условия_и_расчеты!AG:AG,условия_и_расчеты!$F:$F,$E20)</f>
        <v>13986</v>
      </c>
      <c r="AE20" s="38">
        <f>SUMIFS(условия_и_расчеты!AH:AH,условия_и_расчеты!$F:$F,$E20)</f>
        <v>13986</v>
      </c>
      <c r="AF20" s="38">
        <f>SUMIFS(условия_и_расчеты!AI:AI,условия_и_расчеты!$F:$F,$E20)</f>
        <v>13986</v>
      </c>
      <c r="AG20" s="38">
        <f>SUMIFS(условия_и_расчеты!AJ:AJ,условия_и_расчеты!$F:$F,$E20)</f>
        <v>13986</v>
      </c>
      <c r="AH20" s="38">
        <f>SUMIFS(условия_и_расчеты!AK:AK,условия_и_расчеты!$F:$F,$E20)</f>
        <v>13986</v>
      </c>
      <c r="AI20" s="1"/>
      <c r="AJ20" s="1"/>
    </row>
    <row r="21" spans="1:36" x14ac:dyDescent="0.25">
      <c r="A21" s="1"/>
      <c r="B21" s="1"/>
      <c r="C21" s="1"/>
      <c r="D21" s="1"/>
      <c r="E21" s="6" t="str">
        <f>KPI!$F$50</f>
        <v>оплата маркетинговых расходов</v>
      </c>
      <c r="F21" s="1"/>
      <c r="G21" s="1"/>
      <c r="H21" s="1"/>
      <c r="I21" s="10"/>
      <c r="J21" s="38">
        <f>SUMIFS(условия_и_расчеты!M:M,условия_и_расчеты!$F:$F,$E21)</f>
        <v>2144</v>
      </c>
      <c r="K21" s="38">
        <f>SUMIFS(условия_и_расчеты!N:N,условия_и_расчеты!$F:$F,$E21)</f>
        <v>8704</v>
      </c>
      <c r="L21" s="38">
        <f>SUMIFS(условия_и_расчеты!O:O,условия_и_расчеты!$F:$F,$E21)</f>
        <v>11338</v>
      </c>
      <c r="M21" s="38">
        <f>SUMIFS(условия_и_расчеты!P:P,условия_и_расчеты!$F:$F,$E21)</f>
        <v>11792</v>
      </c>
      <c r="N21" s="38">
        <f>SUMIFS(условия_и_расчеты!Q:Q,условия_и_расчеты!$F:$F,$E21)</f>
        <v>12014</v>
      </c>
      <c r="O21" s="38">
        <f>SUMIFS(условия_и_расчеты!R:R,условия_и_расчеты!$F:$F,$E21)</f>
        <v>12504</v>
      </c>
      <c r="P21" s="38">
        <f>SUMIFS(условия_и_расчеты!S:S,условия_и_расчеты!$F:$F,$E21)</f>
        <v>13300</v>
      </c>
      <c r="Q21" s="38">
        <f>SUMIFS(условия_и_расчеты!T:T,условия_и_расчеты!$F:$F,$E21)</f>
        <v>13856</v>
      </c>
      <c r="R21" s="38">
        <f>SUMIFS(условия_и_расчеты!U:U,условия_и_расчеты!$F:$F,$E21)</f>
        <v>14362</v>
      </c>
      <c r="S21" s="38">
        <f>SUMIFS(условия_и_расчеты!V:V,условия_и_расчеты!$F:$F,$E21)</f>
        <v>15062</v>
      </c>
      <c r="T21" s="38">
        <f>SUMIFS(условия_и_расчеты!W:W,условия_и_расчеты!$F:$F,$E21)</f>
        <v>15788</v>
      </c>
      <c r="U21" s="38">
        <f>SUMIFS(условия_и_расчеты!X:X,условия_и_расчеты!$F:$F,$E21)</f>
        <v>16126</v>
      </c>
      <c r="V21" s="38">
        <f>SUMIFS(условия_и_расчеты!Y:Y,условия_и_расчеты!$F:$F,$E21)</f>
        <v>16262</v>
      </c>
      <c r="W21" s="38">
        <f>SUMIFS(условия_и_расчеты!Z:Z,условия_и_расчеты!$F:$F,$E21)</f>
        <v>16508</v>
      </c>
      <c r="X21" s="38">
        <f>SUMIFS(условия_и_расчеты!AA:AA,условия_и_расчеты!$F:$F,$E21)</f>
        <v>16636</v>
      </c>
      <c r="Y21" s="38">
        <f>SUMIFS(условия_и_расчеты!AB:AB,условия_и_расчеты!$F:$F,$E21)</f>
        <v>16910</v>
      </c>
      <c r="Z21" s="38">
        <f>SUMIFS(условия_и_расчеты!AC:AC,условия_и_расчеты!$F:$F,$E21)</f>
        <v>17364</v>
      </c>
      <c r="AA21" s="38">
        <f>SUMIFS(условия_и_расчеты!AD:AD,условия_и_расчеты!$F:$F,$E21)</f>
        <v>17500</v>
      </c>
      <c r="AB21" s="38">
        <f>SUMIFS(условия_и_расчеты!AE:AE,условия_и_расчеты!$F:$F,$E21)</f>
        <v>17500</v>
      </c>
      <c r="AC21" s="38">
        <f>SUMIFS(условия_и_расчеты!AF:AF,условия_и_расчеты!$F:$F,$E21)</f>
        <v>17500</v>
      </c>
      <c r="AD21" s="38">
        <f>SUMIFS(условия_и_расчеты!AG:AG,условия_и_расчеты!$F:$F,$E21)</f>
        <v>17500</v>
      </c>
      <c r="AE21" s="38">
        <f>SUMIFS(условия_и_расчеты!AH:AH,условия_и_расчеты!$F:$F,$E21)</f>
        <v>17500</v>
      </c>
      <c r="AF21" s="38">
        <f>SUMIFS(условия_и_расчеты!AI:AI,условия_и_расчеты!$F:$F,$E21)</f>
        <v>17500</v>
      </c>
      <c r="AG21" s="38">
        <f>SUMIFS(условия_и_расчеты!AJ:AJ,условия_и_расчеты!$F:$F,$E21)</f>
        <v>17500</v>
      </c>
      <c r="AH21" s="38">
        <f>SUMIFS(условия_и_расчеты!AK:AK,условия_и_расчеты!$F:$F,$E21)</f>
        <v>17500</v>
      </c>
      <c r="AI21" s="1"/>
      <c r="AJ21" s="1"/>
    </row>
    <row r="22" spans="1:36" x14ac:dyDescent="0.25">
      <c r="A22" s="1"/>
      <c r="B22" s="1"/>
      <c r="C22" s="1"/>
      <c r="D22" s="1"/>
      <c r="E22" s="6" t="str">
        <f>KPI!$F$55</f>
        <v>оплата ТО парковочного оборудования</v>
      </c>
      <c r="F22" s="1"/>
      <c r="G22" s="1"/>
      <c r="H22" s="1"/>
      <c r="I22" s="10"/>
      <c r="J22" s="38">
        <f>SUMIFS(условия_и_расчеты!M:M,условия_и_расчеты!$F:$F,$E22)</f>
        <v>2256</v>
      </c>
      <c r="K22" s="38">
        <f>SUMIFS(условия_и_расчеты!N:N,условия_и_расчеты!$F:$F,$E22)</f>
        <v>2388</v>
      </c>
      <c r="L22" s="38">
        <f>SUMIFS(условия_и_расчеты!O:O,условия_и_расчеты!$F:$F,$E22)</f>
        <v>2502</v>
      </c>
      <c r="M22" s="38">
        <f>SUMIFS(условия_и_расчеты!P:P,условия_и_расчеты!$F:$F,$E22)</f>
        <v>2514</v>
      </c>
      <c r="N22" s="38">
        <f>SUMIFS(условия_и_расчеты!Q:Q,условия_и_расчеты!$F:$F,$E22)</f>
        <v>2622</v>
      </c>
      <c r="O22" s="38">
        <f>SUMIFS(условия_и_расчеты!R:R,условия_и_расчеты!$F:$F,$E22)</f>
        <v>2796</v>
      </c>
      <c r="P22" s="38">
        <f>SUMIFS(условия_и_расчеты!S:S,условия_и_расчеты!$F:$F,$E22)</f>
        <v>2910</v>
      </c>
      <c r="Q22" s="38">
        <f>SUMIFS(условия_и_расчеты!T:T,условия_и_расчеты!$F:$F,$E22)</f>
        <v>3018</v>
      </c>
      <c r="R22" s="38">
        <f>SUMIFS(условия_и_расчеты!U:U,условия_и_расчеты!$F:$F,$E22)</f>
        <v>3174</v>
      </c>
      <c r="S22" s="38">
        <f>SUMIFS(условия_и_расчеты!V:V,условия_и_расчеты!$F:$F,$E22)</f>
        <v>3378</v>
      </c>
      <c r="T22" s="38">
        <f>SUMIFS(условия_и_расчеты!W:W,условия_и_расчеты!$F:$F,$E22)</f>
        <v>3444</v>
      </c>
      <c r="U22" s="38">
        <f>SUMIFS(условия_и_расчеты!X:X,условия_и_расчеты!$F:$F,$E22)</f>
        <v>3444</v>
      </c>
      <c r="V22" s="38">
        <f>SUMIFS(условия_и_расчеты!Y:Y,условия_и_расчеты!$F:$F,$E22)</f>
        <v>3522</v>
      </c>
      <c r="W22" s="38">
        <f>SUMIFS(условия_и_расчеты!Z:Z,условия_и_расчеты!$F:$F,$E22)</f>
        <v>3522</v>
      </c>
      <c r="X22" s="38">
        <f>SUMIFS(условия_и_расчеты!AA:AA,условия_и_расчеты!$F:$F,$E22)</f>
        <v>3576</v>
      </c>
      <c r="Y22" s="38">
        <f>SUMIFS(условия_и_расчеты!AB:AB,условия_и_расчеты!$F:$F,$E22)</f>
        <v>3720</v>
      </c>
      <c r="Z22" s="38">
        <f>SUMIFS(условия_и_расчеты!AC:AC,условия_и_расчеты!$F:$F,$E22)</f>
        <v>3720</v>
      </c>
      <c r="AA22" s="38">
        <f>SUMIFS(условия_и_расчеты!AD:AD,условия_и_расчеты!$F:$F,$E22)</f>
        <v>3720</v>
      </c>
      <c r="AB22" s="38">
        <f>SUMIFS(условия_и_расчеты!AE:AE,условия_и_расчеты!$F:$F,$E22)</f>
        <v>3720</v>
      </c>
      <c r="AC22" s="38">
        <f>SUMIFS(условия_и_расчеты!AF:AF,условия_и_расчеты!$F:$F,$E22)</f>
        <v>3720</v>
      </c>
      <c r="AD22" s="38">
        <f>SUMIFS(условия_и_расчеты!AG:AG,условия_и_расчеты!$F:$F,$E22)</f>
        <v>3720</v>
      </c>
      <c r="AE22" s="38">
        <f>SUMIFS(условия_и_расчеты!AH:AH,условия_и_расчеты!$F:$F,$E22)</f>
        <v>3720</v>
      </c>
      <c r="AF22" s="38">
        <f>SUMIFS(условия_и_расчеты!AI:AI,условия_и_расчеты!$F:$F,$E22)</f>
        <v>3720</v>
      </c>
      <c r="AG22" s="38">
        <f>SUMIFS(условия_и_расчеты!AJ:AJ,условия_и_расчеты!$F:$F,$E22)</f>
        <v>3720</v>
      </c>
      <c r="AH22" s="38">
        <f>SUMIFS(условия_и_расчеты!AK:AK,условия_и_расчеты!$F:$F,$E22)</f>
        <v>3720</v>
      </c>
      <c r="AI22" s="1"/>
      <c r="AJ22" s="1"/>
    </row>
    <row r="23" spans="1:36" x14ac:dyDescent="0.25">
      <c r="A23" s="1"/>
      <c r="B23" s="1"/>
      <c r="C23" s="1"/>
      <c r="D23" s="1"/>
      <c r="E23" s="6" t="str">
        <f>KPI!$F$61</f>
        <v>оплата ФОТ охранников</v>
      </c>
      <c r="F23" s="1"/>
      <c r="G23" s="1"/>
      <c r="H23" s="1"/>
      <c r="I23" s="10"/>
      <c r="J23" s="38">
        <f>SUMIFS(условия_и_расчеты!M:M,условия_и_расчеты!$F:$F,$E23)</f>
        <v>5270</v>
      </c>
      <c r="K23" s="38">
        <f>SUMIFS(условия_и_расчеты!N:N,условия_и_расчеты!$F:$F,$E23)</f>
        <v>10852.5</v>
      </c>
      <c r="L23" s="38">
        <f>SUMIFS(условия_и_расчеты!O:O,условия_и_расчеты!$F:$F,$E23)</f>
        <v>11427.5</v>
      </c>
      <c r="M23" s="38">
        <f>SUMIFS(условия_и_расчеты!P:P,условия_и_расчеты!$F:$F,$E23)</f>
        <v>11712.5</v>
      </c>
      <c r="N23" s="38">
        <f>SUMIFS(условия_и_расчеты!Q:Q,условия_и_расчеты!$F:$F,$E23)</f>
        <v>11970</v>
      </c>
      <c r="O23" s="38">
        <f>SUMIFS(условия_и_расчеты!R:R,условия_и_расчеты!$F:$F,$E23)</f>
        <v>12677.5</v>
      </c>
      <c r="P23" s="38">
        <f>SUMIFS(условия_и_расчеты!S:S,условия_и_расчеты!$F:$F,$E23)</f>
        <v>13380</v>
      </c>
      <c r="Q23" s="38">
        <f>SUMIFS(условия_и_расчеты!T:T,условия_и_расчеты!$F:$F,$E23)</f>
        <v>13845</v>
      </c>
      <c r="R23" s="38">
        <f>SUMIFS(условия_и_расчеты!U:U,условия_и_расчеты!$F:$F,$E23)</f>
        <v>14437.5</v>
      </c>
      <c r="S23" s="38">
        <f>SUMIFS(условия_и_расчеты!V:V,условия_и_расчеты!$F:$F,$E23)</f>
        <v>15242.5</v>
      </c>
      <c r="T23" s="38">
        <f>SUMIFS(условия_и_расчеты!W:W,условия_и_расчеты!$F:$F,$E23)</f>
        <v>15830</v>
      </c>
      <c r="U23" s="38">
        <f>SUMIFS(условия_и_расчеты!X:X,условия_и_расчеты!$F:$F,$E23)</f>
        <v>15970</v>
      </c>
      <c r="V23" s="38">
        <f>SUMIFS(условия_и_расчеты!Y:Y,условия_и_расчеты!$F:$F,$E23)</f>
        <v>16165</v>
      </c>
      <c r="W23" s="38">
        <f>SUMIFS(условия_и_расчеты!Z:Z,условия_и_расчеты!$F:$F,$E23)</f>
        <v>16360</v>
      </c>
      <c r="X23" s="38">
        <f>SUMIFS(условия_и_расчеты!AA:AA,условия_и_расчеты!$F:$F,$E23)</f>
        <v>16477.5</v>
      </c>
      <c r="Y23" s="38">
        <f>SUMIFS(условия_и_расчеты!AB:AB,условия_и_расчеты!$F:$F,$E23)</f>
        <v>16930</v>
      </c>
      <c r="Z23" s="38">
        <f>SUMIFS(условия_и_расчеты!AC:AC,условия_и_расчеты!$F:$F,$E23)</f>
        <v>17265</v>
      </c>
      <c r="AA23" s="38">
        <f>SUMIFS(условия_и_расчеты!AD:AD,условия_и_расчеты!$F:$F,$E23)</f>
        <v>17265</v>
      </c>
      <c r="AB23" s="38">
        <f>SUMIFS(условия_и_расчеты!AE:AE,условия_и_расчеты!$F:$F,$E23)</f>
        <v>17265</v>
      </c>
      <c r="AC23" s="38">
        <f>SUMIFS(условия_и_расчеты!AF:AF,условия_и_расчеты!$F:$F,$E23)</f>
        <v>17265</v>
      </c>
      <c r="AD23" s="38">
        <f>SUMIFS(условия_и_расчеты!AG:AG,условия_и_расчеты!$F:$F,$E23)</f>
        <v>17265</v>
      </c>
      <c r="AE23" s="38">
        <f>SUMIFS(условия_и_расчеты!AH:AH,условия_и_расчеты!$F:$F,$E23)</f>
        <v>17265</v>
      </c>
      <c r="AF23" s="38">
        <f>SUMIFS(условия_и_расчеты!AI:AI,условия_и_расчеты!$F:$F,$E23)</f>
        <v>17265</v>
      </c>
      <c r="AG23" s="38">
        <f>SUMIFS(условия_и_расчеты!AJ:AJ,условия_и_расчеты!$F:$F,$E23)</f>
        <v>17265</v>
      </c>
      <c r="AH23" s="38">
        <f>SUMIFS(условия_и_расчеты!AK:AK,условия_и_расчеты!$F:$F,$E23)</f>
        <v>17265</v>
      </c>
      <c r="AI23" s="1"/>
      <c r="AJ23" s="1"/>
    </row>
    <row r="24" spans="1:36" x14ac:dyDescent="0.25">
      <c r="A24" s="1"/>
      <c r="B24" s="1"/>
      <c r="C24" s="1"/>
      <c r="D24" s="1"/>
      <c r="E24" s="6" t="str">
        <f>KPI!$F$69</f>
        <v>оплата ФОТ уборщиков</v>
      </c>
      <c r="F24" s="1"/>
      <c r="G24" s="1"/>
      <c r="H24" s="1"/>
      <c r="I24" s="10"/>
      <c r="J24" s="38">
        <f>SUMIFS(условия_и_расчеты!M:M,условия_и_расчеты!$F:$F,$E24)</f>
        <v>2302</v>
      </c>
      <c r="K24" s="38">
        <f>SUMIFS(условия_и_расчеты!N:N,условия_и_расчеты!$F:$F,$E24)</f>
        <v>4738.5</v>
      </c>
      <c r="L24" s="38">
        <f>SUMIFS(условия_и_расчеты!O:O,условия_и_расчеты!$F:$F,$E24)</f>
        <v>4989.5</v>
      </c>
      <c r="M24" s="38">
        <f>SUMIFS(условия_и_расчеты!P:P,условия_и_расчеты!$F:$F,$E24)</f>
        <v>5118.5</v>
      </c>
      <c r="N24" s="38">
        <f>SUMIFS(условия_и_расчеты!Q:Q,условия_и_расчеты!$F:$F,$E24)</f>
        <v>5242</v>
      </c>
      <c r="O24" s="38">
        <f>SUMIFS(условия_и_расчеты!R:R,условия_и_расчеты!$F:$F,$E24)</f>
        <v>5527.5</v>
      </c>
      <c r="P24" s="38">
        <f>SUMIFS(условия_и_расчеты!S:S,условия_и_расчеты!$F:$F,$E24)</f>
        <v>5820</v>
      </c>
      <c r="Q24" s="38">
        <f>SUMIFS(условия_и_расчеты!T:T,условия_и_расчеты!$F:$F,$E24)</f>
        <v>6049</v>
      </c>
      <c r="R24" s="38">
        <f>SUMIFS(условия_и_расчеты!U:U,условия_и_расчеты!$F:$F,$E24)</f>
        <v>6319.5</v>
      </c>
      <c r="S24" s="38">
        <f>SUMIFS(условия_и_расчеты!V:V,условия_и_расчеты!$F:$F,$E24)</f>
        <v>6688.5</v>
      </c>
      <c r="T24" s="38">
        <f>SUMIFS(условия_и_расчеты!W:W,условия_и_расчеты!$F:$F,$E24)</f>
        <v>6966</v>
      </c>
      <c r="U24" s="38">
        <f>SUMIFS(условия_и_расчеты!X:X,условия_и_расчеты!$F:$F,$E24)</f>
        <v>7034</v>
      </c>
      <c r="V24" s="38">
        <f>SUMIFS(условия_и_расчеты!Y:Y,условия_и_расчеты!$F:$F,$E24)</f>
        <v>7113</v>
      </c>
      <c r="W24" s="38">
        <f>SUMIFS(условия_и_расчеты!Z:Z,условия_и_расчеты!$F:$F,$E24)</f>
        <v>7192</v>
      </c>
      <c r="X24" s="38">
        <f>SUMIFS(условия_и_расчеты!AA:AA,условия_и_расчеты!$F:$F,$E24)</f>
        <v>7247.5</v>
      </c>
      <c r="Y24" s="38">
        <f>SUMIFS(условия_и_расчеты!AB:AB,условия_и_расчеты!$F:$F,$E24)</f>
        <v>7450</v>
      </c>
      <c r="Z24" s="38">
        <f>SUMIFS(условия_и_расчеты!AC:AC,условия_и_расчеты!$F:$F,$E24)</f>
        <v>7597</v>
      </c>
      <c r="AA24" s="38">
        <f>SUMIFS(условия_и_расчеты!AD:AD,условия_и_расчеты!$F:$F,$E24)</f>
        <v>7597</v>
      </c>
      <c r="AB24" s="38">
        <f>SUMIFS(условия_и_расчеты!AE:AE,условия_и_расчеты!$F:$F,$E24)</f>
        <v>7597</v>
      </c>
      <c r="AC24" s="38">
        <f>SUMIFS(условия_и_расчеты!AF:AF,условия_и_расчеты!$F:$F,$E24)</f>
        <v>7597</v>
      </c>
      <c r="AD24" s="38">
        <f>SUMIFS(условия_и_расчеты!AG:AG,условия_и_расчеты!$F:$F,$E24)</f>
        <v>7597</v>
      </c>
      <c r="AE24" s="38">
        <f>SUMIFS(условия_и_расчеты!AH:AH,условия_и_расчеты!$F:$F,$E24)</f>
        <v>7597</v>
      </c>
      <c r="AF24" s="38">
        <f>SUMIFS(условия_и_расчеты!AI:AI,условия_и_расчеты!$F:$F,$E24)</f>
        <v>7597</v>
      </c>
      <c r="AG24" s="38">
        <f>SUMIFS(условия_и_расчеты!AJ:AJ,условия_и_расчеты!$F:$F,$E24)</f>
        <v>7597</v>
      </c>
      <c r="AH24" s="38">
        <f>SUMIFS(условия_и_расчеты!AK:AK,условия_и_расчеты!$F:$F,$E24)</f>
        <v>7597</v>
      </c>
      <c r="AI24" s="1"/>
      <c r="AJ24" s="1"/>
    </row>
    <row r="25" spans="1:36" x14ac:dyDescent="0.25">
      <c r="A25" s="1"/>
      <c r="B25" s="1"/>
      <c r="C25" s="1"/>
      <c r="D25" s="1"/>
      <c r="E25" s="6" t="str">
        <f>KPI!$F$85</f>
        <v>оплата ФОТ коммерческого персонала</v>
      </c>
      <c r="F25" s="1"/>
      <c r="G25" s="1"/>
      <c r="H25" s="1"/>
      <c r="I25" s="10"/>
      <c r="J25" s="38">
        <f>SUMIFS(условия_и_расчеты!M:M,условия_и_расчеты!$F:$F,$E25)</f>
        <v>1086</v>
      </c>
      <c r="K25" s="38">
        <f>SUMIFS(условия_и_расчеты!N:N,условия_и_расчеты!$F:$F,$E25)</f>
        <v>3680</v>
      </c>
      <c r="L25" s="38">
        <f>SUMIFS(условия_и_расчеты!O:O,условия_и_расчеты!$F:$F,$E25)</f>
        <v>3859</v>
      </c>
      <c r="M25" s="38">
        <f>SUMIFS(условия_и_расчеты!P:P,условия_и_расчеты!$F:$F,$E25)</f>
        <v>3950</v>
      </c>
      <c r="N25" s="38">
        <f>SUMIFS(условия_и_расчеты!Q:Q,условия_и_расчеты!$F:$F,$E25)</f>
        <v>4007</v>
      </c>
      <c r="O25" s="38">
        <f>SUMIFS(условия_и_расчеты!R:R,условия_и_расчеты!$F:$F,$E25)</f>
        <v>4245</v>
      </c>
      <c r="P25" s="38">
        <f>SUMIFS(условия_и_расчеты!S:S,условия_и_расчеты!$F:$F,$E25)</f>
        <v>4526</v>
      </c>
      <c r="Q25" s="38">
        <f>SUMIFS(условия_и_расчеты!T:T,условия_и_расчеты!$F:$F,$E25)</f>
        <v>4667</v>
      </c>
      <c r="R25" s="38">
        <f>SUMIFS(условия_и_расчеты!U:U,условия_и_расчеты!$F:$F,$E25)</f>
        <v>4860</v>
      </c>
      <c r="S25" s="38">
        <f>SUMIFS(условия_и_расчеты!V:V,условия_и_расчеты!$F:$F,$E25)</f>
        <v>5096</v>
      </c>
      <c r="T25" s="38">
        <f>SUMIFS(условия_и_расчеты!W:W,условия_и_расчеты!$F:$F,$E25)</f>
        <v>5359</v>
      </c>
      <c r="U25" s="38">
        <f>SUMIFS(условия_и_расчеты!X:X,условия_и_расчеты!$F:$F,$E25)</f>
        <v>5450</v>
      </c>
      <c r="V25" s="38">
        <f>SUMIFS(условия_и_расчеты!Y:Y,условия_и_расчеты!$F:$F,$E25)</f>
        <v>5489</v>
      </c>
      <c r="W25" s="38">
        <f>SUMIFS(условия_и_расчеты!Z:Z,условия_и_расчеты!$F:$F,$E25)</f>
        <v>5580</v>
      </c>
      <c r="X25" s="38">
        <f>SUMIFS(условия_и_расчеты!AA:AA,условия_и_расчеты!$F:$F,$E25)</f>
        <v>5601</v>
      </c>
      <c r="Y25" s="38">
        <f>SUMIFS(условия_и_расчеты!AB:AB,условия_и_расчеты!$F:$F,$E25)</f>
        <v>5728</v>
      </c>
      <c r="Z25" s="38">
        <f>SUMIFS(условия_и_расчеты!AC:AC,условия_и_расчеты!$F:$F,$E25)</f>
        <v>5910</v>
      </c>
      <c r="AA25" s="38">
        <f>SUMIFS(условия_и_расчеты!AD:AD,условия_и_расчеты!$F:$F,$E25)</f>
        <v>5910</v>
      </c>
      <c r="AB25" s="38">
        <f>SUMIFS(условия_и_расчеты!AE:AE,условия_и_расчеты!$F:$F,$E25)</f>
        <v>5910</v>
      </c>
      <c r="AC25" s="38">
        <f>SUMIFS(условия_и_расчеты!AF:AF,условия_и_расчеты!$F:$F,$E25)</f>
        <v>5910</v>
      </c>
      <c r="AD25" s="38">
        <f>SUMIFS(условия_и_расчеты!AG:AG,условия_и_расчеты!$F:$F,$E25)</f>
        <v>5910</v>
      </c>
      <c r="AE25" s="38">
        <f>SUMIFS(условия_и_расчеты!AH:AH,условия_и_расчеты!$F:$F,$E25)</f>
        <v>5910</v>
      </c>
      <c r="AF25" s="38">
        <f>SUMIFS(условия_и_расчеты!AI:AI,условия_и_расчеты!$F:$F,$E25)</f>
        <v>5910</v>
      </c>
      <c r="AG25" s="38">
        <f>SUMIFS(условия_и_расчеты!AJ:AJ,условия_и_расчеты!$F:$F,$E25)</f>
        <v>5910</v>
      </c>
      <c r="AH25" s="38">
        <f>SUMIFS(условия_и_расчеты!AK:AK,условия_и_расчеты!$F:$F,$E25)</f>
        <v>5910</v>
      </c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"/>
      <c r="AJ26" s="1"/>
    </row>
    <row r="27" spans="1:36" s="8" customFormat="1" x14ac:dyDescent="0.25">
      <c r="A27" s="7"/>
      <c r="B27" s="7"/>
      <c r="C27" s="7"/>
      <c r="D27" s="7"/>
      <c r="E27" s="7" t="str">
        <f>структура!$D$28</f>
        <v>Оплата постоянных расходов</v>
      </c>
      <c r="F27" s="7"/>
      <c r="G27" s="7"/>
      <c r="H27" s="7"/>
      <c r="I27" s="10"/>
      <c r="J27" s="17">
        <f t="shared" ref="J27:AH27" si="9">SUM(J28:J32)</f>
        <v>5060</v>
      </c>
      <c r="K27" s="17">
        <f t="shared" si="9"/>
        <v>16171.2</v>
      </c>
      <c r="L27" s="17">
        <f t="shared" si="9"/>
        <v>16499.400000000001</v>
      </c>
      <c r="M27" s="17">
        <f t="shared" si="9"/>
        <v>16703.400000000001</v>
      </c>
      <c r="N27" s="17">
        <f t="shared" si="9"/>
        <v>16662</v>
      </c>
      <c r="O27" s="17">
        <f t="shared" si="9"/>
        <v>16864.199999999997</v>
      </c>
      <c r="P27" s="17">
        <f t="shared" si="9"/>
        <v>17415</v>
      </c>
      <c r="Q27" s="17">
        <f t="shared" si="9"/>
        <v>17777.400000000001</v>
      </c>
      <c r="R27" s="17">
        <f t="shared" si="9"/>
        <v>17977.199999999997</v>
      </c>
      <c r="S27" s="17">
        <f t="shared" si="9"/>
        <v>18282.599999999999</v>
      </c>
      <c r="T27" s="17">
        <f t="shared" si="9"/>
        <v>18548.399999999998</v>
      </c>
      <c r="U27" s="17">
        <f t="shared" si="9"/>
        <v>18534.5</v>
      </c>
      <c r="V27" s="17">
        <f t="shared" si="9"/>
        <v>18552.199999999997</v>
      </c>
      <c r="W27" s="17">
        <f t="shared" si="9"/>
        <v>20233.2</v>
      </c>
      <c r="X27" s="17">
        <f t="shared" si="9"/>
        <v>20233.2</v>
      </c>
      <c r="Y27" s="17">
        <f t="shared" si="9"/>
        <v>20288.28</v>
      </c>
      <c r="Z27" s="17">
        <f t="shared" si="9"/>
        <v>20585.760000000002</v>
      </c>
      <c r="AA27" s="17">
        <f t="shared" si="9"/>
        <v>20516.04</v>
      </c>
      <c r="AB27" s="17">
        <f t="shared" si="9"/>
        <v>20446.32</v>
      </c>
      <c r="AC27" s="17">
        <f t="shared" si="9"/>
        <v>20376.599999999999</v>
      </c>
      <c r="AD27" s="17">
        <f t="shared" si="9"/>
        <v>20306.879999999997</v>
      </c>
      <c r="AE27" s="17">
        <f t="shared" si="9"/>
        <v>20237.16</v>
      </c>
      <c r="AF27" s="17">
        <f t="shared" si="9"/>
        <v>19990.14</v>
      </c>
      <c r="AG27" s="17">
        <f t="shared" si="9"/>
        <v>19802.22</v>
      </c>
      <c r="AH27" s="17">
        <f t="shared" si="9"/>
        <v>19555.2</v>
      </c>
      <c r="AI27" s="7"/>
      <c r="AJ27" s="7"/>
    </row>
    <row r="28" spans="1:36" s="4" customFormat="1" ht="10.199999999999999" x14ac:dyDescent="0.2">
      <c r="A28" s="3"/>
      <c r="B28" s="3"/>
      <c r="C28" s="3"/>
      <c r="D28" s="3"/>
      <c r="E28" s="5" t="str">
        <f>структура!$H$9</f>
        <v>в т.ч.</v>
      </c>
      <c r="F28" s="3"/>
      <c r="G28" s="3"/>
      <c r="H28" s="3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3"/>
      <c r="AJ28" s="3"/>
    </row>
    <row r="29" spans="1:36" x14ac:dyDescent="0.25">
      <c r="A29" s="1"/>
      <c r="B29" s="1"/>
      <c r="C29" s="1"/>
      <c r="D29" s="1"/>
      <c r="E29" s="6" t="str">
        <f>KPI!$F$77</f>
        <v>оплата ФОТ управленческого персонала</v>
      </c>
      <c r="F29" s="1"/>
      <c r="G29" s="1"/>
      <c r="H29" s="1"/>
      <c r="I29" s="10"/>
      <c r="J29" s="38">
        <f>SUMIFS(условия_и_расчеты!M:M,условия_и_расчеты!$F:$F,$E29)</f>
        <v>3120</v>
      </c>
      <c r="K29" s="38">
        <f>SUMIFS(условия_и_расчеты!N:N,условия_и_расчеты!$F:$F,$E29)</f>
        <v>6240</v>
      </c>
      <c r="L29" s="38">
        <f>SUMIFS(условия_и_расчеты!O:O,условия_и_расчеты!$F:$F,$E29)</f>
        <v>6240</v>
      </c>
      <c r="M29" s="38">
        <f>SUMIFS(условия_и_расчеты!P:P,условия_и_расчеты!$F:$F,$E29)</f>
        <v>6240</v>
      </c>
      <c r="N29" s="38">
        <f>SUMIFS(условия_и_расчеты!Q:Q,условия_и_расчеты!$F:$F,$E29)</f>
        <v>6240</v>
      </c>
      <c r="O29" s="38">
        <f>SUMIFS(условия_и_расчеты!R:R,условия_и_расчеты!$F:$F,$E29)</f>
        <v>6240</v>
      </c>
      <c r="P29" s="38">
        <f>SUMIFS(условия_и_расчеты!S:S,условия_и_расчеты!$F:$F,$E29)</f>
        <v>6360</v>
      </c>
      <c r="Q29" s="38">
        <f>SUMIFS(условия_и_расчеты!T:T,условия_и_расчеты!$F:$F,$E29)</f>
        <v>6480</v>
      </c>
      <c r="R29" s="38">
        <f>SUMIFS(условия_и_расчеты!U:U,условия_и_расчеты!$F:$F,$E29)</f>
        <v>6480</v>
      </c>
      <c r="S29" s="38">
        <f>SUMIFS(условия_и_расчеты!V:V,условия_и_расчеты!$F:$F,$E29)</f>
        <v>6480</v>
      </c>
      <c r="T29" s="38">
        <f>SUMIFS(условия_и_расчеты!W:W,условия_и_расчеты!$F:$F,$E29)</f>
        <v>6480</v>
      </c>
      <c r="U29" s="38">
        <f>SUMIFS(условия_и_расчеты!X:X,условия_и_расчеты!$F:$F,$E29)</f>
        <v>6480</v>
      </c>
      <c r="V29" s="38">
        <f>SUMIFS(условия_и_расчеты!Y:Y,условия_и_расчеты!$F:$F,$E29)</f>
        <v>6726</v>
      </c>
      <c r="W29" s="38">
        <f>SUMIFS(условия_и_расчеты!Z:Z,условия_и_расчеты!$F:$F,$E29)</f>
        <v>6972</v>
      </c>
      <c r="X29" s="38">
        <f>SUMIFS(условия_и_расчеты!AA:AA,условия_и_расчеты!$F:$F,$E29)</f>
        <v>6972</v>
      </c>
      <c r="Y29" s="38">
        <f>SUMIFS(условия_и_расчеты!AB:AB,условия_и_расчеты!$F:$F,$E29)</f>
        <v>6972</v>
      </c>
      <c r="Z29" s="38">
        <f>SUMIFS(условия_и_расчеты!AC:AC,условия_и_расчеты!$F:$F,$E29)</f>
        <v>6972</v>
      </c>
      <c r="AA29" s="38">
        <f>SUMIFS(условия_и_расчеты!AD:AD,условия_и_расчеты!$F:$F,$E29)</f>
        <v>6972</v>
      </c>
      <c r="AB29" s="38">
        <f>SUMIFS(условия_и_расчеты!AE:AE,условия_и_расчеты!$F:$F,$E29)</f>
        <v>6972</v>
      </c>
      <c r="AC29" s="38">
        <f>SUMIFS(условия_и_расчеты!AF:AF,условия_и_расчеты!$F:$F,$E29)</f>
        <v>6972</v>
      </c>
      <c r="AD29" s="38">
        <f>SUMIFS(условия_и_расчеты!AG:AG,условия_и_расчеты!$F:$F,$E29)</f>
        <v>6972</v>
      </c>
      <c r="AE29" s="38">
        <f>SUMIFS(условия_и_расчеты!AH:AH,условия_и_расчеты!$F:$F,$E29)</f>
        <v>6972</v>
      </c>
      <c r="AF29" s="38">
        <f>SUMIFS(условия_и_расчеты!AI:AI,условия_и_расчеты!$F:$F,$E29)</f>
        <v>6972</v>
      </c>
      <c r="AG29" s="38">
        <f>SUMIFS(условия_и_расчеты!AJ:AJ,условия_и_расчеты!$F:$F,$E29)</f>
        <v>6972</v>
      </c>
      <c r="AH29" s="38">
        <f>SUMIFS(условия_и_расчеты!AK:AK,условия_и_расчеты!$F:$F,$E29)</f>
        <v>6972</v>
      </c>
      <c r="AI29" s="1"/>
      <c r="AJ29" s="1"/>
    </row>
    <row r="30" spans="1:36" x14ac:dyDescent="0.25">
      <c r="A30" s="1"/>
      <c r="B30" s="1"/>
      <c r="C30" s="1"/>
      <c r="D30" s="1"/>
      <c r="E30" s="6" t="str">
        <f>KPI!$F$91</f>
        <v>оплата соцсборов</v>
      </c>
      <c r="F30" s="1"/>
      <c r="G30" s="1"/>
      <c r="H30" s="1"/>
      <c r="I30" s="10"/>
      <c r="J30" s="38">
        <f>SUMIFS(условия_и_расчеты!M:M,условия_и_расчеты!$F:$F,$E30)</f>
        <v>0</v>
      </c>
      <c r="K30" s="38">
        <f>SUMIFS(условия_и_расчеты!N:N,условия_и_расчеты!$F:$F,$E30)</f>
        <v>7501.2</v>
      </c>
      <c r="L30" s="38">
        <f>SUMIFS(условия_и_расчеты!O:O,условия_и_расчеты!$F:$F,$E30)</f>
        <v>7829.4</v>
      </c>
      <c r="M30" s="38">
        <f>SUMIFS(условия_и_расчеты!P:P,условия_и_расчеты!$F:$F,$E30)</f>
        <v>8033.4</v>
      </c>
      <c r="N30" s="38">
        <f>SUMIFS(условия_и_расчеты!Q:Q,условия_и_расчеты!$F:$F,$E30)</f>
        <v>7992</v>
      </c>
      <c r="O30" s="38">
        <f>SUMIFS(условия_и_расчеты!R:R,условия_и_расчеты!$F:$F,$E30)</f>
        <v>8194.1999999999989</v>
      </c>
      <c r="P30" s="38">
        <f>SUMIFS(условия_и_расчеты!S:S,условия_и_расчеты!$F:$F,$E30)</f>
        <v>8625</v>
      </c>
      <c r="Q30" s="38">
        <f>SUMIFS(условия_и_расчеты!T:T,условия_и_расчеты!$F:$F,$E30)</f>
        <v>8867.4</v>
      </c>
      <c r="R30" s="38">
        <f>SUMIFS(условия_и_расчеты!U:U,условия_и_расчеты!$F:$F,$E30)</f>
        <v>9067.1999999999989</v>
      </c>
      <c r="S30" s="38">
        <f>SUMIFS(условия_и_расчеты!V:V,условия_и_расчеты!$F:$F,$E30)</f>
        <v>9372.5999999999985</v>
      </c>
      <c r="T30" s="38">
        <f>SUMIFS(условия_и_расчеты!W:W,условия_и_расчеты!$F:$F,$E30)</f>
        <v>9638.3999999999978</v>
      </c>
      <c r="U30" s="38">
        <f>SUMIFS(условия_и_расчеты!X:X,условия_и_расчеты!$F:$F,$E30)</f>
        <v>9624.5</v>
      </c>
      <c r="V30" s="38">
        <f>SUMIFS(условия_и_расчеты!Y:Y,условия_и_расчеты!$F:$F,$E30)</f>
        <v>9396.1999999999989</v>
      </c>
      <c r="W30" s="38">
        <f>SUMIFS(условия_и_расчеты!Z:Z,условия_и_расчеты!$F:$F,$E30)</f>
        <v>10831.2</v>
      </c>
      <c r="X30" s="38">
        <f>SUMIFS(условия_и_расчеты!AA:AA,условия_и_расчеты!$F:$F,$E30)</f>
        <v>10831.2</v>
      </c>
      <c r="Y30" s="38">
        <f>SUMIFS(условия_и_расчеты!AB:AB,условия_и_расчеты!$F:$F,$E30)</f>
        <v>10886.279999999999</v>
      </c>
      <c r="Z30" s="38">
        <f>SUMIFS(условия_и_расчеты!AC:AC,условия_и_расчеты!$F:$F,$E30)</f>
        <v>11183.76</v>
      </c>
      <c r="AA30" s="38">
        <f>SUMIFS(условия_и_расчеты!AD:AD,условия_и_расчеты!$F:$F,$E30)</f>
        <v>11114.04</v>
      </c>
      <c r="AB30" s="38">
        <f>SUMIFS(условия_и_расчеты!AE:AE,условия_и_расчеты!$F:$F,$E30)</f>
        <v>11044.32</v>
      </c>
      <c r="AC30" s="38">
        <f>SUMIFS(условия_и_расчеты!AF:AF,условия_и_расчеты!$F:$F,$E30)</f>
        <v>10974.6</v>
      </c>
      <c r="AD30" s="38">
        <f>SUMIFS(условия_и_расчеты!AG:AG,условия_и_расчеты!$F:$F,$E30)</f>
        <v>10904.88</v>
      </c>
      <c r="AE30" s="38">
        <f>SUMIFS(условия_и_расчеты!AH:AH,условия_и_расчеты!$F:$F,$E30)</f>
        <v>10835.16</v>
      </c>
      <c r="AF30" s="38">
        <f>SUMIFS(условия_и_расчеты!AI:AI,условия_и_расчеты!$F:$F,$E30)</f>
        <v>10588.140000000001</v>
      </c>
      <c r="AG30" s="38">
        <f>SUMIFS(условия_и_расчеты!AJ:AJ,условия_и_расчеты!$F:$F,$E30)</f>
        <v>10400.219999999999</v>
      </c>
      <c r="AH30" s="38">
        <f>SUMIFS(условия_и_расчеты!AK:AK,условия_и_расчеты!$F:$F,$E30)</f>
        <v>10153.200000000001</v>
      </c>
      <c r="AI30" s="1"/>
      <c r="AJ30" s="1"/>
    </row>
    <row r="31" spans="1:36" x14ac:dyDescent="0.25">
      <c r="A31" s="1"/>
      <c r="B31" s="1"/>
      <c r="C31" s="1"/>
      <c r="D31" s="1"/>
      <c r="E31" s="6" t="str">
        <f>KPI!$F$95</f>
        <v>оплата аренды офиса</v>
      </c>
      <c r="F31" s="1"/>
      <c r="G31" s="1"/>
      <c r="H31" s="1"/>
      <c r="I31" s="10"/>
      <c r="J31" s="38">
        <f>SUMIFS(условия_и_расчеты!M:M,условия_и_расчеты!$F:$F,$E31)</f>
        <v>1450</v>
      </c>
      <c r="K31" s="38">
        <f>SUMIFS(условия_и_расчеты!N:N,условия_и_расчеты!$F:$F,$E31)</f>
        <v>1450</v>
      </c>
      <c r="L31" s="38">
        <f>SUMIFS(условия_и_расчеты!O:O,условия_и_расчеты!$F:$F,$E31)</f>
        <v>1450</v>
      </c>
      <c r="M31" s="38">
        <f>SUMIFS(условия_и_расчеты!P:P,условия_и_расчеты!$F:$F,$E31)</f>
        <v>1450</v>
      </c>
      <c r="N31" s="38">
        <f>SUMIFS(условия_и_расчеты!Q:Q,условия_и_расчеты!$F:$F,$E31)</f>
        <v>1450</v>
      </c>
      <c r="O31" s="38">
        <f>SUMIFS(условия_и_расчеты!R:R,условия_и_расчеты!$F:$F,$E31)</f>
        <v>1450</v>
      </c>
      <c r="P31" s="38">
        <f>SUMIFS(условия_и_расчеты!S:S,условия_и_расчеты!$F:$F,$E31)</f>
        <v>1450</v>
      </c>
      <c r="Q31" s="38">
        <f>SUMIFS(условия_и_расчеты!T:T,условия_и_расчеты!$F:$F,$E31)</f>
        <v>1450</v>
      </c>
      <c r="R31" s="38">
        <f>SUMIFS(условия_и_расчеты!U:U,условия_и_расчеты!$F:$F,$E31)</f>
        <v>1450</v>
      </c>
      <c r="S31" s="38">
        <f>SUMIFS(условия_и_расчеты!V:V,условия_и_расчеты!$F:$F,$E31)</f>
        <v>1450</v>
      </c>
      <c r="T31" s="38">
        <f>SUMIFS(условия_и_расчеты!W:W,условия_и_расчеты!$F:$F,$E31)</f>
        <v>1450</v>
      </c>
      <c r="U31" s="38">
        <f>SUMIFS(условия_и_расчеты!X:X,условия_и_расчеты!$F:$F,$E31)</f>
        <v>1450</v>
      </c>
      <c r="V31" s="38">
        <f>SUMIFS(условия_и_расчеты!Y:Y,условия_и_расчеты!$F:$F,$E31)</f>
        <v>1450</v>
      </c>
      <c r="W31" s="38">
        <f>SUMIFS(условия_и_расчеты!Z:Z,условия_и_расчеты!$F:$F,$E31)</f>
        <v>1450</v>
      </c>
      <c r="X31" s="38">
        <f>SUMIFS(условия_и_расчеты!AA:AA,условия_и_расчеты!$F:$F,$E31)</f>
        <v>1450</v>
      </c>
      <c r="Y31" s="38">
        <f>SUMIFS(условия_и_расчеты!AB:AB,условия_и_расчеты!$F:$F,$E31)</f>
        <v>1450</v>
      </c>
      <c r="Z31" s="38">
        <f>SUMIFS(условия_и_расчеты!AC:AC,условия_и_расчеты!$F:$F,$E31)</f>
        <v>1450</v>
      </c>
      <c r="AA31" s="38">
        <f>SUMIFS(условия_и_расчеты!AD:AD,условия_и_расчеты!$F:$F,$E31)</f>
        <v>1450</v>
      </c>
      <c r="AB31" s="38">
        <f>SUMIFS(условия_и_расчеты!AE:AE,условия_и_расчеты!$F:$F,$E31)</f>
        <v>1450</v>
      </c>
      <c r="AC31" s="38">
        <f>SUMIFS(условия_и_расчеты!AF:AF,условия_и_расчеты!$F:$F,$E31)</f>
        <v>1450</v>
      </c>
      <c r="AD31" s="38">
        <f>SUMIFS(условия_и_расчеты!AG:AG,условия_и_расчеты!$F:$F,$E31)</f>
        <v>1450</v>
      </c>
      <c r="AE31" s="38">
        <f>SUMIFS(условия_и_расчеты!AH:AH,условия_и_расчеты!$F:$F,$E31)</f>
        <v>1450</v>
      </c>
      <c r="AF31" s="38">
        <f>SUMIFS(условия_и_расчеты!AI:AI,условия_и_расчеты!$F:$F,$E31)</f>
        <v>1450</v>
      </c>
      <c r="AG31" s="38">
        <f>SUMIFS(условия_и_расчеты!AJ:AJ,условия_и_расчеты!$F:$F,$E31)</f>
        <v>1450</v>
      </c>
      <c r="AH31" s="38">
        <f>SUMIFS(условия_и_расчеты!AK:AK,условия_и_расчеты!$F:$F,$E31)</f>
        <v>1450</v>
      </c>
      <c r="AI31" s="1"/>
      <c r="AJ31" s="1"/>
    </row>
    <row r="32" spans="1:36" x14ac:dyDescent="0.25">
      <c r="A32" s="1"/>
      <c r="B32" s="1"/>
      <c r="C32" s="1"/>
      <c r="D32" s="1"/>
      <c r="E32" s="6" t="str">
        <f>KPI!$F$99</f>
        <v>оплата прочих постоянных расходов</v>
      </c>
      <c r="F32" s="1"/>
      <c r="G32" s="1"/>
      <c r="H32" s="1"/>
      <c r="I32" s="10"/>
      <c r="J32" s="38">
        <f>SUMIFS(условия_и_расчеты!M:M,условия_и_расчеты!$F:$F,$E32)</f>
        <v>490</v>
      </c>
      <c r="K32" s="38">
        <f>SUMIFS(условия_и_расчеты!N:N,условия_и_расчеты!$F:$F,$E32)</f>
        <v>980</v>
      </c>
      <c r="L32" s="38">
        <f>SUMIFS(условия_и_расчеты!O:O,условия_и_расчеты!$F:$F,$E32)</f>
        <v>980</v>
      </c>
      <c r="M32" s="38">
        <f>SUMIFS(условия_и_расчеты!P:P,условия_и_расчеты!$F:$F,$E32)</f>
        <v>980</v>
      </c>
      <c r="N32" s="38">
        <f>SUMIFS(условия_и_расчеты!Q:Q,условия_и_расчеты!$F:$F,$E32)</f>
        <v>980</v>
      </c>
      <c r="O32" s="38">
        <f>SUMIFS(условия_и_расчеты!R:R,условия_и_расчеты!$F:$F,$E32)</f>
        <v>980</v>
      </c>
      <c r="P32" s="38">
        <f>SUMIFS(условия_и_расчеты!S:S,условия_и_расчеты!$F:$F,$E32)</f>
        <v>980</v>
      </c>
      <c r="Q32" s="38">
        <f>SUMIFS(условия_и_расчеты!T:T,условия_и_расчеты!$F:$F,$E32)</f>
        <v>980</v>
      </c>
      <c r="R32" s="38">
        <f>SUMIFS(условия_и_расчеты!U:U,условия_и_расчеты!$F:$F,$E32)</f>
        <v>980</v>
      </c>
      <c r="S32" s="38">
        <f>SUMIFS(условия_и_расчеты!V:V,условия_и_расчеты!$F:$F,$E32)</f>
        <v>980</v>
      </c>
      <c r="T32" s="38">
        <f>SUMIFS(условия_и_расчеты!W:W,условия_и_расчеты!$F:$F,$E32)</f>
        <v>980</v>
      </c>
      <c r="U32" s="38">
        <f>SUMIFS(условия_и_расчеты!X:X,условия_и_расчеты!$F:$F,$E32)</f>
        <v>980</v>
      </c>
      <c r="V32" s="38">
        <f>SUMIFS(условия_и_расчеты!Y:Y,условия_и_расчеты!$F:$F,$E32)</f>
        <v>980</v>
      </c>
      <c r="W32" s="38">
        <f>SUMIFS(условия_и_расчеты!Z:Z,условия_и_расчеты!$F:$F,$E32)</f>
        <v>980</v>
      </c>
      <c r="X32" s="38">
        <f>SUMIFS(условия_и_расчеты!AA:AA,условия_и_расчеты!$F:$F,$E32)</f>
        <v>980</v>
      </c>
      <c r="Y32" s="38">
        <f>SUMIFS(условия_и_расчеты!AB:AB,условия_и_расчеты!$F:$F,$E32)</f>
        <v>980</v>
      </c>
      <c r="Z32" s="38">
        <f>SUMIFS(условия_и_расчеты!AC:AC,условия_и_расчеты!$F:$F,$E32)</f>
        <v>980</v>
      </c>
      <c r="AA32" s="38">
        <f>SUMIFS(условия_и_расчеты!AD:AD,условия_и_расчеты!$F:$F,$E32)</f>
        <v>980</v>
      </c>
      <c r="AB32" s="38">
        <f>SUMIFS(условия_и_расчеты!AE:AE,условия_и_расчеты!$F:$F,$E32)</f>
        <v>980</v>
      </c>
      <c r="AC32" s="38">
        <f>SUMIFS(условия_и_расчеты!AF:AF,условия_и_расчеты!$F:$F,$E32)</f>
        <v>980</v>
      </c>
      <c r="AD32" s="38">
        <f>SUMIFS(условия_и_расчеты!AG:AG,условия_и_расчеты!$F:$F,$E32)</f>
        <v>980</v>
      </c>
      <c r="AE32" s="38">
        <f>SUMIFS(условия_и_расчеты!AH:AH,условия_и_расчеты!$F:$F,$E32)</f>
        <v>980</v>
      </c>
      <c r="AF32" s="38">
        <f>SUMIFS(условия_и_расчеты!AI:AI,условия_и_расчеты!$F:$F,$E32)</f>
        <v>980</v>
      </c>
      <c r="AG32" s="38">
        <f>SUMIFS(условия_и_расчеты!AJ:AJ,условия_и_расчеты!$F:$F,$E32)</f>
        <v>980</v>
      </c>
      <c r="AH32" s="38">
        <f>SUMIFS(условия_и_расчеты!AK:AK,условия_и_расчеты!$F:$F,$E32)</f>
        <v>980</v>
      </c>
      <c r="AI32" s="1"/>
      <c r="AJ32" s="1"/>
    </row>
    <row r="33" spans="1:36" x14ac:dyDescent="0.25">
      <c r="A33" s="1"/>
      <c r="B33" s="1"/>
      <c r="C33" s="1"/>
      <c r="D33" s="1"/>
      <c r="E33" s="1"/>
      <c r="F33" s="1"/>
      <c r="G33" s="1"/>
      <c r="H33" s="1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"/>
      <c r="AJ33" s="1"/>
    </row>
    <row r="34" spans="1:36" x14ac:dyDescent="0.25">
      <c r="A34" s="1"/>
      <c r="B34" s="1"/>
      <c r="C34" s="1"/>
      <c r="D34" s="1"/>
      <c r="E34" s="1"/>
      <c r="F34" s="1"/>
      <c r="G34" s="1"/>
      <c r="H34" s="1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"/>
      <c r="AJ34" s="1"/>
    </row>
    <row r="35" spans="1:36" x14ac:dyDescent="0.25">
      <c r="A35" s="1"/>
      <c r="B35" s="1"/>
      <c r="C35" s="1"/>
      <c r="D35" s="1"/>
      <c r="E35" s="1"/>
      <c r="F35" s="1"/>
      <c r="G35" s="1"/>
      <c r="H35" s="1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"/>
      <c r="AJ35" s="1"/>
    </row>
    <row r="36" spans="1:36" x14ac:dyDescent="0.25">
      <c r="A36" s="1"/>
      <c r="B36" s="1"/>
      <c r="C36" s="1"/>
      <c r="D36" s="1"/>
      <c r="E36" s="1"/>
      <c r="F36" s="1"/>
      <c r="G36" s="1"/>
      <c r="H36" s="1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"/>
      <c r="AJ36" s="1"/>
    </row>
    <row r="37" spans="1:36" x14ac:dyDescent="0.25">
      <c r="A37" s="1"/>
      <c r="B37" s="1"/>
      <c r="C37" s="1"/>
      <c r="D37" s="1"/>
      <c r="E37" s="1"/>
      <c r="F37" s="1"/>
      <c r="G37" s="1"/>
      <c r="H37" s="1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"/>
      <c r="AJ37" s="1"/>
    </row>
    <row r="38" spans="1:36" x14ac:dyDescent="0.25">
      <c r="A38" s="1"/>
      <c r="B38" s="1"/>
      <c r="C38" s="1"/>
      <c r="D38" s="1"/>
      <c r="E38" s="1"/>
      <c r="F38" s="1"/>
      <c r="G38" s="1"/>
      <c r="H38" s="1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"/>
      <c r="AJ38" s="1"/>
    </row>
    <row r="39" spans="1:36" x14ac:dyDescent="0.25">
      <c r="A39" s="1"/>
      <c r="B39" s="1"/>
      <c r="C39" s="1"/>
      <c r="D39" s="1"/>
      <c r="E39" s="1"/>
      <c r="F39" s="1"/>
      <c r="G39" s="1"/>
      <c r="H39" s="1"/>
      <c r="I39" s="1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"/>
      <c r="AJ39" s="1"/>
    </row>
    <row r="40" spans="1:36" x14ac:dyDescent="0.25">
      <c r="A40" s="1"/>
      <c r="B40" s="1"/>
      <c r="C40" s="1"/>
      <c r="D40" s="1"/>
      <c r="E40" s="1"/>
      <c r="F40" s="1"/>
      <c r="G40" s="1"/>
      <c r="H40" s="1"/>
      <c r="I40" s="1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"/>
      <c r="AJ40" s="1"/>
    </row>
    <row r="41" spans="1:36" x14ac:dyDescent="0.25">
      <c r="A41" s="1"/>
      <c r="B41" s="1"/>
      <c r="C41" s="1"/>
      <c r="D41" s="1"/>
      <c r="E41" s="1"/>
      <c r="F41" s="1"/>
      <c r="G41" s="1"/>
      <c r="H41" s="1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"/>
      <c r="AJ41" s="1"/>
    </row>
    <row r="42" spans="1:36" x14ac:dyDescent="0.25">
      <c r="A42" s="1"/>
      <c r="B42" s="1"/>
      <c r="C42" s="1"/>
      <c r="D42" s="1"/>
      <c r="E42" s="1"/>
      <c r="F42" s="1"/>
      <c r="G42" s="1"/>
      <c r="H42" s="1"/>
      <c r="I42" s="1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"/>
      <c r="AJ42" s="1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</sheetData>
  <conditionalFormatting sqref="J6:AH7">
    <cfRule type="containsBlanks" dxfId="6" priority="2">
      <formula>LEN(TRIM(J6))=0</formula>
    </cfRule>
  </conditionalFormatting>
  <conditionalFormatting sqref="J12:AH13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31"/>
  <sheetViews>
    <sheetView showGridLines="0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140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44378</v>
      </c>
      <c r="K6" s="15">
        <f>IF(J7="","",J7+1)</f>
        <v>44409</v>
      </c>
      <c r="L6" s="15">
        <f t="shared" ref="L6:AH6" si="2">IF(K7="","",K7+1)</f>
        <v>44440</v>
      </c>
      <c r="M6" s="15">
        <f t="shared" si="2"/>
        <v>44470</v>
      </c>
      <c r="N6" s="15">
        <f t="shared" si="2"/>
        <v>44501</v>
      </c>
      <c r="O6" s="15">
        <f t="shared" si="2"/>
        <v>44531</v>
      </c>
      <c r="P6" s="15">
        <f t="shared" si="2"/>
        <v>44562</v>
      </c>
      <c r="Q6" s="15">
        <f t="shared" si="2"/>
        <v>44593</v>
      </c>
      <c r="R6" s="15">
        <f t="shared" si="2"/>
        <v>44621</v>
      </c>
      <c r="S6" s="15">
        <f t="shared" si="2"/>
        <v>44652</v>
      </c>
      <c r="T6" s="15">
        <f t="shared" si="2"/>
        <v>44682</v>
      </c>
      <c r="U6" s="15">
        <f t="shared" si="2"/>
        <v>44713</v>
      </c>
      <c r="V6" s="15">
        <f t="shared" si="2"/>
        <v>44743</v>
      </c>
      <c r="W6" s="15">
        <f t="shared" si="2"/>
        <v>44774</v>
      </c>
      <c r="X6" s="15">
        <f t="shared" si="2"/>
        <v>44805</v>
      </c>
      <c r="Y6" s="15">
        <f t="shared" si="2"/>
        <v>44835</v>
      </c>
      <c r="Z6" s="15">
        <f t="shared" si="2"/>
        <v>44866</v>
      </c>
      <c r="AA6" s="15">
        <f t="shared" si="2"/>
        <v>44896</v>
      </c>
      <c r="AB6" s="15">
        <f t="shared" si="2"/>
        <v>44927</v>
      </c>
      <c r="AC6" s="15">
        <f t="shared" si="2"/>
        <v>44958</v>
      </c>
      <c r="AD6" s="15">
        <f t="shared" si="2"/>
        <v>44986</v>
      </c>
      <c r="AE6" s="15">
        <f t="shared" si="2"/>
        <v>45017</v>
      </c>
      <c r="AF6" s="15">
        <f t="shared" si="2"/>
        <v>45047</v>
      </c>
      <c r="AG6" s="15">
        <f t="shared" si="2"/>
        <v>45078</v>
      </c>
      <c r="AH6" s="15">
        <f t="shared" si="2"/>
        <v>45108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44408</v>
      </c>
      <c r="K7" s="15">
        <f t="shared" ref="K7:AH7" si="3">IF(K6="","",EOMONTH(K6,0))</f>
        <v>44439</v>
      </c>
      <c r="L7" s="15">
        <f t="shared" si="3"/>
        <v>44469</v>
      </c>
      <c r="M7" s="15">
        <f t="shared" si="3"/>
        <v>44500</v>
      </c>
      <c r="N7" s="15">
        <f t="shared" si="3"/>
        <v>44530</v>
      </c>
      <c r="O7" s="15">
        <f t="shared" si="3"/>
        <v>44561</v>
      </c>
      <c r="P7" s="15">
        <f t="shared" si="3"/>
        <v>44592</v>
      </c>
      <c r="Q7" s="15">
        <f t="shared" si="3"/>
        <v>44620</v>
      </c>
      <c r="R7" s="15">
        <f t="shared" si="3"/>
        <v>44651</v>
      </c>
      <c r="S7" s="15">
        <f t="shared" si="3"/>
        <v>44681</v>
      </c>
      <c r="T7" s="15">
        <f t="shared" si="3"/>
        <v>44712</v>
      </c>
      <c r="U7" s="15">
        <f t="shared" si="3"/>
        <v>44742</v>
      </c>
      <c r="V7" s="15">
        <f t="shared" si="3"/>
        <v>44773</v>
      </c>
      <c r="W7" s="15">
        <f t="shared" si="3"/>
        <v>44804</v>
      </c>
      <c r="X7" s="15">
        <f t="shared" si="3"/>
        <v>44834</v>
      </c>
      <c r="Y7" s="15">
        <f t="shared" si="3"/>
        <v>44865</v>
      </c>
      <c r="Z7" s="15">
        <f t="shared" si="3"/>
        <v>44895</v>
      </c>
      <c r="AA7" s="15">
        <f t="shared" si="3"/>
        <v>44926</v>
      </c>
      <c r="AB7" s="15">
        <f t="shared" si="3"/>
        <v>44957</v>
      </c>
      <c r="AC7" s="15">
        <f t="shared" si="3"/>
        <v>44985</v>
      </c>
      <c r="AD7" s="15">
        <f t="shared" si="3"/>
        <v>45016</v>
      </c>
      <c r="AE7" s="15">
        <f t="shared" si="3"/>
        <v>45046</v>
      </c>
      <c r="AF7" s="15">
        <f t="shared" si="3"/>
        <v>45077</v>
      </c>
      <c r="AG7" s="15">
        <f t="shared" si="3"/>
        <v>45107</v>
      </c>
      <c r="AH7" s="15">
        <f t="shared" si="3"/>
        <v>45138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s="8" customFormat="1" x14ac:dyDescent="0.25">
      <c r="A9" s="7"/>
      <c r="B9" s="7"/>
      <c r="C9" s="7"/>
      <c r="D9" s="7"/>
      <c r="E9" s="7" t="str">
        <f>структура!$D$37</f>
        <v>БАЛАНС</v>
      </c>
      <c r="F9" s="7"/>
      <c r="G9" s="7"/>
      <c r="H9" s="7"/>
      <c r="I9" s="10"/>
      <c r="J9" s="17">
        <f>J11-J17</f>
        <v>0</v>
      </c>
      <c r="K9" s="17">
        <f t="shared" ref="K9:AH9" si="4">K11-K17</f>
        <v>0</v>
      </c>
      <c r="L9" s="17">
        <f t="shared" si="4"/>
        <v>0</v>
      </c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7.2759576141834259E-11</v>
      </c>
      <c r="Q9" s="17">
        <f t="shared" si="4"/>
        <v>-5.8207660913467407E-11</v>
      </c>
      <c r="R9" s="17">
        <f t="shared" si="4"/>
        <v>0</v>
      </c>
      <c r="S9" s="17">
        <f t="shared" si="4"/>
        <v>1.7462298274040222E-10</v>
      </c>
      <c r="T9" s="17">
        <f t="shared" si="4"/>
        <v>1.7462298274040222E-10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  <c r="Y9" s="17">
        <f t="shared" si="4"/>
        <v>3.2014213502407074E-10</v>
      </c>
      <c r="Z9" s="17">
        <f t="shared" si="4"/>
        <v>2.9103830456733704E-10</v>
      </c>
      <c r="AA9" s="17">
        <f t="shared" si="4"/>
        <v>2.9103830456733704E-10</v>
      </c>
      <c r="AB9" s="17">
        <f t="shared" si="4"/>
        <v>2.6193447411060333E-10</v>
      </c>
      <c r="AC9" s="17">
        <f t="shared" si="4"/>
        <v>0</v>
      </c>
      <c r="AD9" s="17">
        <f t="shared" si="4"/>
        <v>2.9103830456733704E-10</v>
      </c>
      <c r="AE9" s="17">
        <f t="shared" si="4"/>
        <v>0</v>
      </c>
      <c r="AF9" s="17">
        <f t="shared" si="4"/>
        <v>3.2014213502407074E-10</v>
      </c>
      <c r="AG9" s="17">
        <f t="shared" si="4"/>
        <v>0</v>
      </c>
      <c r="AH9" s="17">
        <f t="shared" si="4"/>
        <v>4.6566128730773926E-10</v>
      </c>
      <c r="AI9" s="7"/>
      <c r="AJ9" s="7"/>
    </row>
    <row r="10" spans="1:36" x14ac:dyDescent="0.25">
      <c r="A10" s="1"/>
      <c r="B10" s="1"/>
      <c r="C10" s="1"/>
      <c r="D10" s="1"/>
      <c r="E10" s="36"/>
      <c r="F10" s="1"/>
      <c r="G10" s="1"/>
      <c r="H10" s="1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"/>
      <c r="AJ10" s="1"/>
    </row>
    <row r="11" spans="1:36" s="8" customFormat="1" x14ac:dyDescent="0.25">
      <c r="A11" s="7"/>
      <c r="B11" s="7"/>
      <c r="C11" s="7"/>
      <c r="D11" s="7"/>
      <c r="E11" s="7" t="str">
        <f>структура!$D$29</f>
        <v>АКТИВЫ</v>
      </c>
      <c r="F11" s="7"/>
      <c r="G11" s="7"/>
      <c r="H11" s="7"/>
      <c r="I11" s="10"/>
      <c r="J11" s="17">
        <f>SUM(J12:J16)</f>
        <v>47710.487311359997</v>
      </c>
      <c r="K11" s="17">
        <f t="shared" ref="K11:AH11" si="5">SUM(K12:K16)</f>
        <v>50843.457588479992</v>
      </c>
      <c r="L11" s="17">
        <f t="shared" si="5"/>
        <v>49102.943407199979</v>
      </c>
      <c r="M11" s="17">
        <f t="shared" si="5"/>
        <v>47644.330552399937</v>
      </c>
      <c r="N11" s="17">
        <f t="shared" si="5"/>
        <v>49733.96864199992</v>
      </c>
      <c r="O11" s="17">
        <f t="shared" si="5"/>
        <v>53497.090256487863</v>
      </c>
      <c r="P11" s="17">
        <f t="shared" si="5"/>
        <v>58569.405087431922</v>
      </c>
      <c r="Q11" s="17">
        <f t="shared" si="5"/>
        <v>64935.986868271924</v>
      </c>
      <c r="R11" s="17">
        <f t="shared" si="5"/>
        <v>75836.554497623918</v>
      </c>
      <c r="S11" s="17">
        <f t="shared" si="5"/>
        <v>87182.495498000004</v>
      </c>
      <c r="T11" s="17">
        <f t="shared" si="5"/>
        <v>95938.700130560028</v>
      </c>
      <c r="U11" s="17">
        <f t="shared" si="5"/>
        <v>100949.31055311998</v>
      </c>
      <c r="V11" s="17">
        <f t="shared" si="5"/>
        <v>109473.76793903986</v>
      </c>
      <c r="W11" s="17">
        <f t="shared" si="5"/>
        <v>114211.38539855981</v>
      </c>
      <c r="X11" s="17">
        <f t="shared" si="5"/>
        <v>120031.14882447994</v>
      </c>
      <c r="Y11" s="17">
        <f t="shared" si="5"/>
        <v>133069.24326208001</v>
      </c>
      <c r="Z11" s="17">
        <f t="shared" si="5"/>
        <v>145685.93370848004</v>
      </c>
      <c r="AA11" s="17">
        <f t="shared" si="5"/>
        <v>159304.03836226423</v>
      </c>
      <c r="AB11" s="17">
        <f t="shared" si="5"/>
        <v>174529.13716966432</v>
      </c>
      <c r="AC11" s="17">
        <f t="shared" si="5"/>
        <v>190732.8115881923</v>
      </c>
      <c r="AD11" s="17">
        <f t="shared" si="5"/>
        <v>207352.8318094883</v>
      </c>
      <c r="AE11" s="17">
        <f t="shared" si="5"/>
        <v>221226.58666544029</v>
      </c>
      <c r="AF11" s="17">
        <f t="shared" si="5"/>
        <v>234370.04154320026</v>
      </c>
      <c r="AG11" s="17">
        <f t="shared" si="5"/>
        <v>245264.61199616027</v>
      </c>
      <c r="AH11" s="17">
        <f t="shared" si="5"/>
        <v>252818.31302624024</v>
      </c>
      <c r="AI11" s="7"/>
      <c r="AJ11" s="7"/>
    </row>
    <row r="12" spans="1:36" s="39" customFormat="1" x14ac:dyDescent="0.25">
      <c r="A12" s="36"/>
      <c r="B12" s="36"/>
      <c r="C12" s="36"/>
      <c r="D12" s="36"/>
      <c r="E12" s="36" t="str">
        <f>структура!$D$30</f>
        <v>Денежные средства</v>
      </c>
      <c r="F12" s="36"/>
      <c r="G12" s="36"/>
      <c r="H12" s="36"/>
      <c r="I12" s="37"/>
      <c r="J12" s="38">
        <f>CF!J13</f>
        <v>11253.687311360001</v>
      </c>
      <c r="K12" s="38">
        <f>CF!K13</f>
        <v>6034.0575884800055</v>
      </c>
      <c r="L12" s="38">
        <f>CF!L13</f>
        <v>-269.11659279999731</v>
      </c>
      <c r="M12" s="38">
        <f>CF!M13</f>
        <v>-3609.5094476000086</v>
      </c>
      <c r="N12" s="38">
        <f>CF!N13</f>
        <v>-3728.4713580000243</v>
      </c>
      <c r="O12" s="38">
        <f>CF!O13</f>
        <v>-2304.8297435120185</v>
      </c>
      <c r="P12" s="38">
        <f>CF!P13</f>
        <v>-30.834912568025175</v>
      </c>
      <c r="Q12" s="38">
        <f>CF!Q13</f>
        <v>3766.7268682719878</v>
      </c>
      <c r="R12" s="38">
        <f>CF!R13</f>
        <v>10812.614497623974</v>
      </c>
      <c r="S12" s="38">
        <f>CF!S13</f>
        <v>17656.75549799997</v>
      </c>
      <c r="T12" s="38">
        <f>CF!T13</f>
        <v>24223.920130559956</v>
      </c>
      <c r="U12" s="38">
        <f>CF!U13</f>
        <v>28677.510553119981</v>
      </c>
      <c r="V12" s="38">
        <f>CF!V13</f>
        <v>34353.327939040013</v>
      </c>
      <c r="W12" s="38">
        <f>CF!W13</f>
        <v>38585.705398560021</v>
      </c>
      <c r="X12" s="38">
        <f>CF!X13</f>
        <v>43194.788824480071</v>
      </c>
      <c r="Y12" s="38">
        <f>CF!Y13</f>
        <v>53525.243262080083</v>
      </c>
      <c r="Z12" s="38">
        <f>CF!Z13</f>
        <v>65657.533708480114</v>
      </c>
      <c r="AA12" s="38">
        <f>CF!AA13</f>
        <v>79088.438362264118</v>
      </c>
      <c r="AB12" s="38">
        <f>CF!AB13</f>
        <v>94235.937169664117</v>
      </c>
      <c r="AC12" s="38">
        <f>CF!AC13</f>
        <v>110439.61158819213</v>
      </c>
      <c r="AD12" s="38">
        <f>CF!AD13</f>
        <v>127059.63180948813</v>
      </c>
      <c r="AE12" s="38">
        <f>CF!AE13</f>
        <v>140933.38666544011</v>
      </c>
      <c r="AF12" s="38">
        <f>CF!AF13</f>
        <v>154076.84154320008</v>
      </c>
      <c r="AG12" s="38">
        <f>CF!AG13</f>
        <v>164971.41199616008</v>
      </c>
      <c r="AH12" s="38">
        <f>CF!AH13</f>
        <v>172525.11302624005</v>
      </c>
      <c r="AI12" s="36"/>
      <c r="AJ12" s="36"/>
    </row>
    <row r="13" spans="1:36" s="39" customFormat="1" x14ac:dyDescent="0.25">
      <c r="A13" s="36"/>
      <c r="B13" s="36"/>
      <c r="C13" s="36"/>
      <c r="D13" s="36"/>
      <c r="E13" s="36" t="str">
        <f>структура!$D$31</f>
        <v>Материалы</v>
      </c>
      <c r="F13" s="36"/>
      <c r="G13" s="36"/>
      <c r="H13" s="36"/>
      <c r="I13" s="37"/>
      <c r="J13" s="38">
        <f>SUM(условия_и_расчеты!$M$114:M114)-SUM(условия_и_расчеты!$M$129:M129)</f>
        <v>2148</v>
      </c>
      <c r="K13" s="38">
        <f>SUM(условия_и_расчеты!$M$114:N114)-SUM(условия_и_расчеты!$M$129:N129)</f>
        <v>2547</v>
      </c>
      <c r="L13" s="38">
        <f>SUM(условия_и_расчеты!$M$114:O114)-SUM(условия_и_расчеты!$M$129:O129)</f>
        <v>2673</v>
      </c>
      <c r="M13" s="38">
        <f>SUM(условия_и_расчеты!$M$114:P114)-SUM(условия_и_расчеты!$M$129:P129)</f>
        <v>2703</v>
      </c>
      <c r="N13" s="38">
        <f>SUM(условия_и_расчеты!$M$114:Q114)-SUM(условия_и_расчеты!$M$129:Q129)</f>
        <v>2820</v>
      </c>
      <c r="O13" s="38">
        <f>SUM(условия_и_расчеты!$M$114:R114)-SUM(условия_и_расчеты!$M$129:R129)</f>
        <v>2961</v>
      </c>
      <c r="P13" s="38">
        <f>SUM(условия_и_расчеты!$M$114:S114)-SUM(условия_и_расчеты!$M$129:S129)</f>
        <v>3096</v>
      </c>
      <c r="Q13" s="38">
        <f>SUM(условия_и_расчеты!$M$114:T114)-SUM(условия_и_расчеты!$M$129:T129)</f>
        <v>3234</v>
      </c>
      <c r="R13" s="38">
        <f>SUM(условия_и_расчеты!$M$114:U114)-SUM(условия_и_расчеты!$M$129:U129)</f>
        <v>3405</v>
      </c>
      <c r="S13" s="38">
        <f>SUM(условия_и_расчеты!$M$114:V114)-SUM(условия_и_расчеты!$M$129:V129)</f>
        <v>3639</v>
      </c>
      <c r="T13" s="38">
        <f>SUM(условия_и_расчеты!$M$114:W114)-SUM(условия_и_расчеты!$M$129:W129)</f>
        <v>3744</v>
      </c>
      <c r="U13" s="38">
        <f>SUM(условия_и_расчеты!$M$114:X114)-SUM(условия_и_расчеты!$M$129:X129)</f>
        <v>3756</v>
      </c>
      <c r="V13" s="38">
        <f>SUM(условия_и_расчеты!$M$114:Y114)-SUM(условия_и_расчеты!$M$129:Y129)</f>
        <v>3822</v>
      </c>
      <c r="W13" s="38">
        <f>SUM(условия_и_расчеты!$M$114:Z114)-SUM(условия_и_расчеты!$M$129:Z129)</f>
        <v>3828</v>
      </c>
      <c r="X13" s="38">
        <f>SUM(условия_и_расчеты!$M$114:AA114)-SUM(условия_и_расчеты!$M$129:AA129)</f>
        <v>3885</v>
      </c>
      <c r="Y13" s="38">
        <f>SUM(условия_и_расчеты!$M$114:AB114)-SUM(условия_и_расчеты!$M$129:AB129)</f>
        <v>4032</v>
      </c>
      <c r="Z13" s="38">
        <f>SUM(условия_и_расчеты!$M$114:AC114)-SUM(условия_и_расчеты!$M$129:AC129)</f>
        <v>4050</v>
      </c>
      <c r="AA13" s="38">
        <f>SUM(условия_и_расчеты!$M$114:AD114)-SUM(условия_и_расчеты!$M$129:AD129)</f>
        <v>4050</v>
      </c>
      <c r="AB13" s="38">
        <f>SUM(условия_и_расчеты!$M$114:AE114)-SUM(условия_и_расчеты!$M$129:AE129)</f>
        <v>4050</v>
      </c>
      <c r="AC13" s="38">
        <f>SUM(условия_и_расчеты!$M$114:AF114)-SUM(условия_и_расчеты!$M$129:AF129)</f>
        <v>4050</v>
      </c>
      <c r="AD13" s="38">
        <f>SUM(условия_и_расчеты!$M$114:AG114)-SUM(условия_и_расчеты!$M$129:AG129)</f>
        <v>4050</v>
      </c>
      <c r="AE13" s="38">
        <f>SUM(условия_и_расчеты!$M$114:AH114)-SUM(условия_и_расчеты!$M$129:AH129)</f>
        <v>4050</v>
      </c>
      <c r="AF13" s="38">
        <f>SUM(условия_и_расчеты!$M$114:AI114)-SUM(условия_и_расчеты!$M$129:AI129)</f>
        <v>4050</v>
      </c>
      <c r="AG13" s="38">
        <f>SUM(условия_и_расчеты!$M$114:AJ114)-SUM(условия_и_расчеты!$M$129:AJ129)</f>
        <v>4050</v>
      </c>
      <c r="AH13" s="38">
        <f>SUM(условия_и_расчеты!$M$114:AK114)-SUM(условия_и_расчеты!$M$129:AK129)</f>
        <v>4050</v>
      </c>
      <c r="AI13" s="36"/>
      <c r="AJ13" s="36"/>
    </row>
    <row r="14" spans="1:36" s="39" customFormat="1" x14ac:dyDescent="0.25">
      <c r="A14" s="36"/>
      <c r="B14" s="36"/>
      <c r="C14" s="36"/>
      <c r="D14" s="36"/>
      <c r="E14" s="36" t="str">
        <f>структура!$D$32</f>
        <v>Незавершенные работы</v>
      </c>
      <c r="F14" s="36"/>
      <c r="G14" s="36"/>
      <c r="H14" s="36"/>
      <c r="I14" s="37"/>
      <c r="J14" s="38">
        <f>SUM(условия_и_расчеты!$M$136:M136)-SUM(условия_и_расчеты!$M$151:M151)</f>
        <v>1718.4</v>
      </c>
      <c r="K14" s="38">
        <f>SUM(условия_и_расчеты!$M$136:N136)-SUM(условия_и_расчеты!$M$151:N151)</f>
        <v>2037.6000000000004</v>
      </c>
      <c r="L14" s="38">
        <f>SUM(условия_и_расчеты!$M$136:O136)-SUM(условия_и_расчеты!$M$151:O151)</f>
        <v>2138.4000000000015</v>
      </c>
      <c r="M14" s="38">
        <f>SUM(условия_и_расчеты!$M$136:P136)-SUM(условия_и_расчеты!$M$151:P151)</f>
        <v>2162.4000000000015</v>
      </c>
      <c r="N14" s="38">
        <f>SUM(условия_и_расчеты!$M$136:Q136)-SUM(условия_и_расчеты!$M$151:Q151)</f>
        <v>2256</v>
      </c>
      <c r="O14" s="38">
        <f>SUM(условия_и_расчеты!$M$136:R136)-SUM(условия_и_расчеты!$M$151:R151)</f>
        <v>2368.7999999999993</v>
      </c>
      <c r="P14" s="38">
        <f>SUM(условия_и_расчеты!$M$136:S136)-SUM(условия_и_расчеты!$M$151:S151)</f>
        <v>2476.7999999999993</v>
      </c>
      <c r="Q14" s="38">
        <f>SUM(условия_и_расчеты!$M$136:T136)-SUM(условия_и_расчеты!$M$151:T151)</f>
        <v>2587.1999999999971</v>
      </c>
      <c r="R14" s="38">
        <f>SUM(условия_и_расчеты!$M$136:U136)-SUM(условия_и_расчеты!$M$151:U151)</f>
        <v>2724</v>
      </c>
      <c r="S14" s="38">
        <f>SUM(условия_и_расчеты!$M$136:V136)-SUM(условия_и_расчеты!$M$151:V151)</f>
        <v>2911.1999999999971</v>
      </c>
      <c r="T14" s="38">
        <f>SUM(условия_и_расчеты!$M$136:W136)-SUM(условия_и_расчеты!$M$151:W151)</f>
        <v>2995.1999999999971</v>
      </c>
      <c r="U14" s="38">
        <f>SUM(условия_и_расчеты!$M$136:X136)-SUM(условия_и_расчеты!$M$151:X151)</f>
        <v>3004.7999999999956</v>
      </c>
      <c r="V14" s="38">
        <f>SUM(условия_и_расчеты!$M$136:Y136)-SUM(условия_и_расчеты!$M$151:Y151)</f>
        <v>3057.5999999999985</v>
      </c>
      <c r="W14" s="38">
        <f>SUM(условия_и_расчеты!$M$136:Z136)-SUM(условия_и_расчеты!$M$151:Z151)</f>
        <v>3062.3999999999942</v>
      </c>
      <c r="X14" s="38">
        <f>SUM(условия_и_расчеты!$M$136:AA136)-SUM(условия_и_расчеты!$M$151:AA151)</f>
        <v>3108</v>
      </c>
      <c r="Y14" s="38">
        <f>SUM(условия_и_расчеты!$M$136:AB136)-SUM(условия_и_расчеты!$M$151:AB151)</f>
        <v>3225.6000000000058</v>
      </c>
      <c r="Z14" s="38">
        <f>SUM(условия_и_расчеты!$M$136:AC136)-SUM(условия_и_расчеты!$M$151:AC151)</f>
        <v>3240</v>
      </c>
      <c r="AA14" s="38">
        <f>SUM(условия_и_расчеты!$M$136:AD136)-SUM(условия_и_расчеты!$M$151:AD151)</f>
        <v>3240</v>
      </c>
      <c r="AB14" s="38">
        <f>SUM(условия_и_расчеты!$M$136:AE136)-SUM(условия_и_расчеты!$M$151:AE151)</f>
        <v>3240</v>
      </c>
      <c r="AC14" s="38">
        <f>SUM(условия_и_расчеты!$M$136:AF136)-SUM(условия_и_расчеты!$M$151:AF151)</f>
        <v>3240</v>
      </c>
      <c r="AD14" s="38">
        <f>SUM(условия_и_расчеты!$M$136:AG136)-SUM(условия_и_расчеты!$M$151:AG151)</f>
        <v>3240</v>
      </c>
      <c r="AE14" s="38">
        <f>SUM(условия_и_расчеты!$M$136:AH136)-SUM(условия_и_расчеты!$M$151:AH151)</f>
        <v>3240</v>
      </c>
      <c r="AF14" s="38">
        <f>SUM(условия_и_расчеты!$M$136:AI136)-SUM(условия_и_расчеты!$M$151:AI151)</f>
        <v>3240</v>
      </c>
      <c r="AG14" s="38">
        <f>SUM(условия_и_расчеты!$M$136:AJ136)-SUM(условия_и_расчеты!$M$151:AJ151)</f>
        <v>3240</v>
      </c>
      <c r="AH14" s="38">
        <f>SUM(условия_и_расчеты!$M$136:AK136)-SUM(условия_и_расчеты!$M$151:AK151)</f>
        <v>3240</v>
      </c>
      <c r="AI14" s="36"/>
      <c r="AJ14" s="36"/>
    </row>
    <row r="15" spans="1:36" s="39" customFormat="1" x14ac:dyDescent="0.25">
      <c r="A15" s="36"/>
      <c r="B15" s="36"/>
      <c r="C15" s="36"/>
      <c r="D15" s="36"/>
      <c r="E15" s="36" t="str">
        <f>структура!$D$33</f>
        <v>Дебиторская задолженность</v>
      </c>
      <c r="F15" s="36"/>
      <c r="G15" s="36"/>
      <c r="H15" s="36"/>
      <c r="I15" s="37"/>
      <c r="J15" s="38">
        <f>SUM(условия_и_расчеты!$M$35:M35)-SUM(условия_и_расчеты!$M$50:M50)</f>
        <v>32590.399999999994</v>
      </c>
      <c r="K15" s="38">
        <f>SUM(условия_и_расчеты!$M$35:N35)-SUM(условия_и_расчеты!$M$50:N50)</f>
        <v>40224.799999999988</v>
      </c>
      <c r="L15" s="38">
        <f>SUM(условия_и_расчеты!$M$35:O35)-SUM(условия_и_расчеты!$M$50:O50)</f>
        <v>44560.659999999974</v>
      </c>
      <c r="M15" s="38">
        <f>SUM(условия_и_расчеты!$M$35:P35)-SUM(условия_и_расчеты!$M$50:P50)</f>
        <v>46388.439999999944</v>
      </c>
      <c r="N15" s="38">
        <f>SUM(условия_и_расчеты!$M$35:Q35)-SUM(условия_и_расчеты!$M$50:Q50)</f>
        <v>48386.439999999944</v>
      </c>
      <c r="O15" s="38">
        <f>SUM(условия_и_расчеты!$M$35:R35)-SUM(условия_и_расчеты!$M$50:R50)</f>
        <v>50472.119999999879</v>
      </c>
      <c r="P15" s="38">
        <f>SUM(условия_и_расчеты!$M$35:S35)-SUM(условия_и_расчеты!$M$50:S50)</f>
        <v>53027.439999999944</v>
      </c>
      <c r="Q15" s="38">
        <f>SUM(условия_и_расчеты!$M$35:T35)-SUM(условия_и_расчеты!$M$50:T50)</f>
        <v>55348.059999999939</v>
      </c>
      <c r="R15" s="38">
        <f>SUM(условия_и_расчеты!$M$35:U35)-SUM(условия_и_расчеты!$M$50:U50)</f>
        <v>58894.939999999944</v>
      </c>
      <c r="S15" s="38">
        <f>SUM(условия_и_расчеты!$M$35:V35)-SUM(условия_и_расчеты!$M$50:V50)</f>
        <v>62975.540000000037</v>
      </c>
      <c r="T15" s="38">
        <f>SUM(условия_и_расчеты!$M$35:W35)-SUM(условия_и_расчеты!$M$50:W50)</f>
        <v>64975.580000000075</v>
      </c>
      <c r="U15" s="38">
        <f>SUM(условия_и_расчеты!$M$35:X35)-SUM(условия_и_расчеты!$M$50:X50)</f>
        <v>65511</v>
      </c>
      <c r="V15" s="38">
        <f>SUM(условия_и_расчеты!$M$35:Y35)-SUM(условия_и_расчеты!$M$50:Y50)</f>
        <v>68240.839999999851</v>
      </c>
      <c r="W15" s="38">
        <f>SUM(условия_и_расчеты!$M$35:Z35)-SUM(условия_и_расчеты!$M$50:Z50)</f>
        <v>68735.279999999795</v>
      </c>
      <c r="X15" s="38">
        <f>SUM(условия_и_расчеты!$M$35:AA35)-SUM(условия_и_расчеты!$M$50:AA50)</f>
        <v>69843.35999999987</v>
      </c>
      <c r="Y15" s="38">
        <f>SUM(условия_и_расчеты!$M$35:AB35)-SUM(условия_и_расчеты!$M$50:AB50)</f>
        <v>72286.399999999907</v>
      </c>
      <c r="Z15" s="38">
        <f>SUM(условия_и_расчеты!$M$35:AC35)-SUM(условия_и_расчеты!$M$50:AC50)</f>
        <v>72738.399999999907</v>
      </c>
      <c r="AA15" s="38">
        <f>SUM(условия_и_расчеты!$M$35:AD35)-SUM(условия_и_расчеты!$M$50:AD50)</f>
        <v>72925.600000000093</v>
      </c>
      <c r="AB15" s="38">
        <f>SUM(условия_и_расчеты!$M$35:AE35)-SUM(условия_и_расчеты!$M$50:AE50)</f>
        <v>73003.200000000186</v>
      </c>
      <c r="AC15" s="38">
        <f>SUM(условия_и_расчеты!$M$35:AF35)-SUM(условия_и_расчеты!$M$50:AF50)</f>
        <v>73003.200000000186</v>
      </c>
      <c r="AD15" s="38">
        <f>SUM(условия_и_расчеты!$M$35:AG35)-SUM(условия_и_расчеты!$M$50:AG50)</f>
        <v>73003.200000000186</v>
      </c>
      <c r="AE15" s="38">
        <f>SUM(условия_и_расчеты!$M$35:AH35)-SUM(условия_и_расчеты!$M$50:AH50)</f>
        <v>73003.200000000186</v>
      </c>
      <c r="AF15" s="38">
        <f>SUM(условия_и_расчеты!$M$35:AI35)-SUM(условия_и_расчеты!$M$50:AI50)</f>
        <v>73003.200000000186</v>
      </c>
      <c r="AG15" s="38">
        <f>SUM(условия_и_расчеты!$M$35:AJ35)-SUM(условия_и_расчеты!$M$50:AJ50)</f>
        <v>73003.200000000186</v>
      </c>
      <c r="AH15" s="38">
        <f>SUM(условия_и_расчеты!$M$35:AK35)-SUM(условия_и_расчеты!$M$50:AK50)</f>
        <v>73003.200000000186</v>
      </c>
      <c r="AI15" s="36"/>
      <c r="AJ15" s="36"/>
    </row>
    <row r="16" spans="1:36" x14ac:dyDescent="0.25">
      <c r="A16" s="1"/>
      <c r="B16" s="1"/>
      <c r="C16" s="1"/>
      <c r="D16" s="1"/>
      <c r="E16" s="1"/>
      <c r="F16" s="1"/>
      <c r="G16" s="1"/>
      <c r="H16" s="1"/>
      <c r="I16" s="1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"/>
      <c r="AJ16" s="1"/>
    </row>
    <row r="17" spans="1:36" s="8" customFormat="1" x14ac:dyDescent="0.25">
      <c r="A17" s="7"/>
      <c r="B17" s="7"/>
      <c r="C17" s="7"/>
      <c r="D17" s="7"/>
      <c r="E17" s="7" t="str">
        <f>структура!$D$34</f>
        <v>ПАССИВЫ</v>
      </c>
      <c r="F17" s="7"/>
      <c r="G17" s="7"/>
      <c r="H17" s="7"/>
      <c r="I17" s="10"/>
      <c r="J17" s="17">
        <f t="shared" ref="J17:AH17" si="6">SUM(J18:J20)</f>
        <v>47710.48731135999</v>
      </c>
      <c r="K17" s="17">
        <f t="shared" si="6"/>
        <v>50843.45758848</v>
      </c>
      <c r="L17" s="17">
        <f t="shared" si="6"/>
        <v>49102.943407199942</v>
      </c>
      <c r="M17" s="17">
        <f t="shared" si="6"/>
        <v>47644.330552399988</v>
      </c>
      <c r="N17" s="17">
        <f t="shared" si="6"/>
        <v>49733.968641999905</v>
      </c>
      <c r="O17" s="17">
        <f t="shared" si="6"/>
        <v>53497.090256487907</v>
      </c>
      <c r="P17" s="17">
        <f t="shared" si="6"/>
        <v>58569.405087431849</v>
      </c>
      <c r="Q17" s="17">
        <f t="shared" si="6"/>
        <v>64935.986868271983</v>
      </c>
      <c r="R17" s="17">
        <f t="shared" si="6"/>
        <v>75836.554497623874</v>
      </c>
      <c r="S17" s="17">
        <f t="shared" si="6"/>
        <v>87182.495497999829</v>
      </c>
      <c r="T17" s="17">
        <f t="shared" si="6"/>
        <v>95938.700130559853</v>
      </c>
      <c r="U17" s="17">
        <f t="shared" si="6"/>
        <v>100949.31055312007</v>
      </c>
      <c r="V17" s="17">
        <f t="shared" si="6"/>
        <v>109473.76793903993</v>
      </c>
      <c r="W17" s="17">
        <f t="shared" si="6"/>
        <v>114211.38539855985</v>
      </c>
      <c r="X17" s="17">
        <f t="shared" si="6"/>
        <v>120031.14882448</v>
      </c>
      <c r="Y17" s="17">
        <f t="shared" si="6"/>
        <v>133069.24326207969</v>
      </c>
      <c r="Z17" s="17">
        <f t="shared" si="6"/>
        <v>145685.93370847974</v>
      </c>
      <c r="AA17" s="17">
        <f t="shared" si="6"/>
        <v>159304.03836226393</v>
      </c>
      <c r="AB17" s="17">
        <f t="shared" si="6"/>
        <v>174529.13716966406</v>
      </c>
      <c r="AC17" s="17">
        <f t="shared" si="6"/>
        <v>190732.81158819239</v>
      </c>
      <c r="AD17" s="17">
        <f t="shared" si="6"/>
        <v>207352.83180948801</v>
      </c>
      <c r="AE17" s="17">
        <f t="shared" si="6"/>
        <v>221226.58666544018</v>
      </c>
      <c r="AF17" s="17">
        <f t="shared" si="6"/>
        <v>234370.04154319994</v>
      </c>
      <c r="AG17" s="17">
        <f t="shared" si="6"/>
        <v>245264.61199616033</v>
      </c>
      <c r="AH17" s="17">
        <f t="shared" si="6"/>
        <v>252818.31302623978</v>
      </c>
      <c r="AI17" s="7"/>
      <c r="AJ17" s="7"/>
    </row>
    <row r="18" spans="1:36" s="39" customFormat="1" x14ac:dyDescent="0.25">
      <c r="A18" s="36"/>
      <c r="B18" s="36"/>
      <c r="C18" s="36"/>
      <c r="D18" s="36"/>
      <c r="E18" s="36" t="str">
        <f>структура!$D$35</f>
        <v>Собственный капитал</v>
      </c>
      <c r="F18" s="36"/>
      <c r="G18" s="36"/>
      <c r="H18" s="36"/>
      <c r="I18" s="37"/>
      <c r="J18" s="38">
        <f>SUM(PL!$J$35:J35)</f>
        <v>-2327.8537728000047</v>
      </c>
      <c r="K18" s="38">
        <f>SUM(PL!$J$35:K35)</f>
        <v>-8025.7340928000085</v>
      </c>
      <c r="L18" s="38">
        <f>SUM(PL!$J$35:L35)</f>
        <v>-10196.14473280001</v>
      </c>
      <c r="M18" s="38">
        <f>SUM(PL!$J$35:M35)</f>
        <v>-11020.660308800016</v>
      </c>
      <c r="N18" s="38">
        <f>SUM(PL!$J$35:N35)</f>
        <v>-10108.312444800013</v>
      </c>
      <c r="O18" s="38">
        <f>SUM(PL!$J$35:O35)</f>
        <v>-8470.7626910400104</v>
      </c>
      <c r="P18" s="38">
        <f>SUM(PL!$J$35:P35)</f>
        <v>-5117.9076140800134</v>
      </c>
      <c r="Q18" s="38">
        <f>SUM(PL!$J$35:Q35)</f>
        <v>-467.50781312000981</v>
      </c>
      <c r="R18" s="38">
        <f>SUM(PL!$J$35:R35)</f>
        <v>4885.3380036799899</v>
      </c>
      <c r="S18" s="38">
        <f>SUM(PL!$J$35:S35)</f>
        <v>11564.179523679988</v>
      </c>
      <c r="T18" s="38">
        <f>SUM(PL!$J$35:T35)</f>
        <v>16355.574701279991</v>
      </c>
      <c r="U18" s="38">
        <f>SUM(PL!$J$35:U35)</f>
        <v>17604.682093279996</v>
      </c>
      <c r="V18" s="38">
        <f>SUM(PL!$J$35:V35)</f>
        <v>22216.213792479994</v>
      </c>
      <c r="W18" s="38">
        <f>SUM(PL!$J$35:W35)</f>
        <v>26103.909312479984</v>
      </c>
      <c r="X18" s="38">
        <f>SUM(PL!$J$35:X35)</f>
        <v>35762.810592479989</v>
      </c>
      <c r="Y18" s="38">
        <f>SUM(PL!$J$35:Y35)</f>
        <v>48354.266544479986</v>
      </c>
      <c r="Z18" s="38">
        <f>SUM(PL!$J$35:Z35)</f>
        <v>61938.001728479983</v>
      </c>
      <c r="AA18" s="38">
        <f>SUM(PL!$J$35:AA35)</f>
        <v>77259.96477215999</v>
      </c>
      <c r="AB18" s="38">
        <f>SUM(PL!$J$35:AB35)</f>
        <v>93522.17880959998</v>
      </c>
      <c r="AC18" s="38">
        <f>SUM(PL!$J$35:AC35)</f>
        <v>110359.58245631997</v>
      </c>
      <c r="AD18" s="38">
        <f>SUM(PL!$J$35:AD35)</f>
        <v>123929.97681311997</v>
      </c>
      <c r="AE18" s="38">
        <f>SUM(PL!$J$35:AE35)</f>
        <v>137141.14257311996</v>
      </c>
      <c r="AF18" s="38">
        <f>SUM(PL!$J$35:AF35)</f>
        <v>147973.51349471995</v>
      </c>
      <c r="AG18" s="38">
        <f>SUM(PL!$J$35:AG35)</f>
        <v>155163.46536671996</v>
      </c>
      <c r="AH18" s="38">
        <f>SUM(PL!$J$35:AH35)</f>
        <v>160679.52230111996</v>
      </c>
      <c r="AI18" s="36"/>
      <c r="AJ18" s="36"/>
    </row>
    <row r="19" spans="1:36" s="39" customFormat="1" x14ac:dyDescent="0.25">
      <c r="A19" s="36"/>
      <c r="B19" s="36"/>
      <c r="C19" s="36"/>
      <c r="D19" s="36"/>
      <c r="E19" s="36" t="str">
        <f>структура!$D$36</f>
        <v>Кредиторская задолженность</v>
      </c>
      <c r="F19" s="36"/>
      <c r="G19" s="36"/>
      <c r="H19" s="36"/>
      <c r="I19" s="37"/>
      <c r="J19" s="38">
        <f>SUM(PL!$J$12:J12)+SUM(PL!$J$16:J16)+SUM(PL!$J$28:J28)-SUM(CF!$J$15:J15)-SUM(CF!$J$17:J17)-SUM(CF!$J$27:J27)+J13+J14</f>
        <v>50038.341084159998</v>
      </c>
      <c r="K19" s="38">
        <f>SUM(PL!$J$12:K12)+SUM(PL!$J$16:K16)+SUM(PL!$J$28:K28)-SUM(CF!$J$15:K15)-SUM(CF!$J$17:K17)-SUM(CF!$J$27:K27)+K13+K14</f>
        <v>58869.191681280012</v>
      </c>
      <c r="L19" s="38">
        <f>SUM(PL!$J$12:L12)+SUM(PL!$J$16:L16)+SUM(PL!$J$28:L28)-SUM(CF!$J$15:L15)-SUM(CF!$J$17:L17)-SUM(CF!$J$27:L27)+L13+L14</f>
        <v>59299.088139999956</v>
      </c>
      <c r="M19" s="38">
        <f>SUM(PL!$J$12:M12)+SUM(PL!$J$16:M16)+SUM(PL!$J$28:M28)-SUM(CF!$J$15:M15)-SUM(CF!$J$17:M17)-SUM(CF!$J$27:M27)+M13+M14</f>
        <v>58664.9908612</v>
      </c>
      <c r="N19" s="38">
        <f>SUM(PL!$J$12:N12)+SUM(PL!$J$16:N16)+SUM(PL!$J$28:N28)-SUM(CF!$J$15:N15)-SUM(CF!$J$17:N17)-SUM(CF!$J$27:N27)+N13+N14</f>
        <v>59842.281086799921</v>
      </c>
      <c r="O19" s="38">
        <f>SUM(PL!$J$12:O12)+SUM(PL!$J$16:O16)+SUM(PL!$J$28:O28)-SUM(CF!$J$15:O15)-SUM(CF!$J$17:O17)-SUM(CF!$J$27:O27)+O13+O14</f>
        <v>61967.852947527921</v>
      </c>
      <c r="P19" s="38">
        <f>SUM(PL!$J$12:P12)+SUM(PL!$J$16:P16)+SUM(PL!$J$28:P28)-SUM(CF!$J$15:P15)-SUM(CF!$J$17:P17)-SUM(CF!$J$27:P27)+P13+P14</f>
        <v>63687.312701511866</v>
      </c>
      <c r="Q19" s="38">
        <f>SUM(PL!$J$12:Q12)+SUM(PL!$J$16:Q16)+SUM(PL!$J$28:Q28)-SUM(CF!$J$15:Q15)-SUM(CF!$J$17:Q17)-SUM(CF!$J$27:Q27)+Q13+Q14</f>
        <v>65403.494681391996</v>
      </c>
      <c r="R19" s="38">
        <f>SUM(PL!$J$12:R12)+SUM(PL!$J$16:R16)+SUM(PL!$J$28:R28)-SUM(CF!$J$15:R15)-SUM(CF!$J$17:R17)-SUM(CF!$J$27:R27)+R13+R14</f>
        <v>70951.216493943881</v>
      </c>
      <c r="S19" s="38">
        <f>SUM(PL!$J$12:S12)+SUM(PL!$J$16:S16)+SUM(PL!$J$28:S28)-SUM(CF!$J$15:S15)-SUM(CF!$J$17:S17)-SUM(CF!$J$27:S27)+S13+S14</f>
        <v>75618.315974319834</v>
      </c>
      <c r="T19" s="38">
        <f>SUM(PL!$J$12:T12)+SUM(PL!$J$16:T16)+SUM(PL!$J$28:T28)-SUM(CF!$J$15:T15)-SUM(CF!$J$17:T17)-SUM(CF!$J$27:T27)+T13+T14</f>
        <v>79583.125429279855</v>
      </c>
      <c r="U19" s="38">
        <f>SUM(PL!$J$12:U12)+SUM(PL!$J$16:U16)+SUM(PL!$J$28:U28)-SUM(CF!$J$15:U15)-SUM(CF!$J$17:U17)-SUM(CF!$J$27:U27)+U13+U14</f>
        <v>83344.628459840082</v>
      </c>
      <c r="V19" s="38">
        <f>SUM(PL!$J$12:V12)+SUM(PL!$J$16:V16)+SUM(PL!$J$28:V28)-SUM(CF!$J$15:V15)-SUM(CF!$J$17:V17)-SUM(CF!$J$27:V27)+V13+V14</f>
        <v>87257.554146559938</v>
      </c>
      <c r="W19" s="38">
        <f>SUM(PL!$J$12:W12)+SUM(PL!$J$16:W16)+SUM(PL!$J$28:W28)-SUM(CF!$J$15:W15)-SUM(CF!$J$17:W17)-SUM(CF!$J$27:W27)+W13+W14</f>
        <v>88107.476086079871</v>
      </c>
      <c r="X19" s="38">
        <f>SUM(PL!$J$12:X12)+SUM(PL!$J$16:X16)+SUM(PL!$J$28:X28)-SUM(CF!$J$15:X15)-SUM(CF!$J$17:X17)-SUM(CF!$J$27:X27)+X13+X14</f>
        <v>84268.338232000009</v>
      </c>
      <c r="Y19" s="38">
        <f>SUM(PL!$J$12:Y12)+SUM(PL!$J$16:Y16)+SUM(PL!$J$28:Y28)-SUM(CF!$J$15:Y15)-SUM(CF!$J$17:Y17)-SUM(CF!$J$27:Y27)+Y13+Y14</f>
        <v>84714.976717599697</v>
      </c>
      <c r="Z19" s="38">
        <f>SUM(PL!$J$12:Z12)+SUM(PL!$J$16:Z16)+SUM(PL!$J$28:Z28)-SUM(CF!$J$15:Z15)-SUM(CF!$J$17:Z17)-SUM(CF!$J$27:Z27)+Z13+Z14</f>
        <v>83747.931979999761</v>
      </c>
      <c r="AA19" s="38">
        <f>SUM(PL!$J$12:AA12)+SUM(PL!$J$16:AA16)+SUM(PL!$J$28:AA28)-SUM(CF!$J$15:AA15)-SUM(CF!$J$17:AA17)-SUM(CF!$J$27:AA27)+AA13+AA14</f>
        <v>82044.073590103944</v>
      </c>
      <c r="AB19" s="38">
        <f>SUM(PL!$J$12:AB12)+SUM(PL!$J$16:AB16)+SUM(PL!$J$28:AB28)-SUM(CF!$J$15:AB15)-SUM(CF!$J$17:AB17)-SUM(CF!$J$27:AB27)+AB13+AB14</f>
        <v>81006.958360064076</v>
      </c>
      <c r="AC19" s="38">
        <f>SUM(PL!$J$12:AC12)+SUM(PL!$J$16:AC16)+SUM(PL!$J$28:AC28)-SUM(CF!$J$15:AC15)-SUM(CF!$J$17:AC17)-SUM(CF!$J$27:AC27)+AC13+AC14</f>
        <v>80373.229131872416</v>
      </c>
      <c r="AD19" s="38">
        <f>SUM(PL!$J$12:AD12)+SUM(PL!$J$16:AD16)+SUM(PL!$J$28:AD28)-SUM(CF!$J$15:AD15)-SUM(CF!$J$17:AD17)-SUM(CF!$J$27:AD27)+AD13+AD14</f>
        <v>83422.854996368056</v>
      </c>
      <c r="AE19" s="38">
        <f>SUM(PL!$J$12:AE12)+SUM(PL!$J$16:AE16)+SUM(PL!$J$28:AE28)-SUM(CF!$J$15:AE15)-SUM(CF!$J$17:AE17)-SUM(CF!$J$27:AE27)+AE13+AE14</f>
        <v>84085.44409232022</v>
      </c>
      <c r="AF19" s="38">
        <f>SUM(PL!$J$12:AF12)+SUM(PL!$J$16:AF16)+SUM(PL!$J$28:AF28)-SUM(CF!$J$15:AF15)-SUM(CF!$J$17:AF17)-SUM(CF!$J$27:AF27)+AF13+AF14</f>
        <v>86396.528048479988</v>
      </c>
      <c r="AG19" s="38">
        <f>SUM(PL!$J$12:AG12)+SUM(PL!$J$16:AG16)+SUM(PL!$J$28:AG28)-SUM(CF!$J$15:AG15)-SUM(CF!$J$17:AG17)-SUM(CF!$J$27:AG27)+AG13+AG14</f>
        <v>90101.146629440365</v>
      </c>
      <c r="AH19" s="38">
        <f>SUM(PL!$J$12:AH12)+SUM(PL!$J$16:AH16)+SUM(PL!$J$28:AH28)-SUM(CF!$J$15:AH15)-SUM(CF!$J$17:AH17)-SUM(CF!$J$27:AH27)+AH13+AH14</f>
        <v>92138.790725119819</v>
      </c>
      <c r="AI19" s="36"/>
      <c r="AJ19" s="36"/>
    </row>
    <row r="20" spans="1:36" x14ac:dyDescent="0.25">
      <c r="A20" s="1"/>
      <c r="B20" s="1"/>
      <c r="C20" s="1"/>
      <c r="D20" s="1"/>
      <c r="E20" s="1"/>
      <c r="F20" s="1"/>
      <c r="G20" s="1"/>
      <c r="H20" s="1"/>
      <c r="I20" s="1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"/>
      <c r="AJ20" s="1"/>
    </row>
    <row r="21" spans="1:36" x14ac:dyDescent="0.25">
      <c r="A21" s="1"/>
      <c r="B21" s="1"/>
      <c r="C21" s="1"/>
      <c r="D21" s="1"/>
      <c r="E21" s="1"/>
      <c r="F21" s="1"/>
      <c r="G21" s="1"/>
      <c r="H21" s="1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"/>
      <c r="AJ21" s="1"/>
    </row>
    <row r="22" spans="1:36" x14ac:dyDescent="0.25">
      <c r="A22" s="1"/>
      <c r="B22" s="1"/>
      <c r="C22" s="1"/>
      <c r="D22" s="1"/>
      <c r="E22" s="1"/>
      <c r="F22" s="1"/>
      <c r="G22" s="1"/>
      <c r="H22" s="1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"/>
      <c r="AJ22" s="1"/>
    </row>
    <row r="23" spans="1:36" x14ac:dyDescent="0.25">
      <c r="A23" s="1"/>
      <c r="B23" s="1"/>
      <c r="C23" s="1"/>
      <c r="D23" s="1"/>
      <c r="E23" s="1"/>
      <c r="F23" s="1"/>
      <c r="G23" s="1"/>
      <c r="H23" s="1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"/>
      <c r="AJ23" s="1"/>
    </row>
    <row r="24" spans="1:36" x14ac:dyDescent="0.25">
      <c r="A24" s="1"/>
      <c r="B24" s="1"/>
      <c r="C24" s="1"/>
      <c r="D24" s="1"/>
      <c r="E24" s="1"/>
      <c r="F24" s="1"/>
      <c r="G24" s="1"/>
      <c r="H24" s="1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"/>
      <c r="AJ24" s="1"/>
    </row>
    <row r="25" spans="1:36" x14ac:dyDescent="0.25">
      <c r="A25" s="1"/>
      <c r="B25" s="1"/>
      <c r="C25" s="1"/>
      <c r="D25" s="1"/>
      <c r="E25" s="1"/>
      <c r="F25" s="1"/>
      <c r="G25" s="1"/>
      <c r="H25" s="1"/>
      <c r="I25" s="1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"/>
      <c r="AJ26" s="1"/>
    </row>
    <row r="27" spans="1:36" x14ac:dyDescent="0.25">
      <c r="A27" s="1"/>
      <c r="B27" s="1"/>
      <c r="C27" s="1"/>
      <c r="D27" s="1"/>
      <c r="E27" s="1"/>
      <c r="F27" s="1"/>
      <c r="G27" s="1"/>
      <c r="H27" s="1"/>
      <c r="I27" s="1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"/>
      <c r="AJ27" s="1"/>
    </row>
    <row r="28" spans="1:36" x14ac:dyDescent="0.25">
      <c r="A28" s="1"/>
      <c r="B28" s="1"/>
      <c r="C28" s="1"/>
      <c r="D28" s="1"/>
      <c r="E28" s="1"/>
      <c r="F28" s="1"/>
      <c r="G28" s="1"/>
      <c r="H28" s="1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"/>
      <c r="AJ28" s="1"/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"/>
      <c r="AJ29" s="1"/>
    </row>
    <row r="30" spans="1:36" x14ac:dyDescent="0.25">
      <c r="A30" s="1"/>
      <c r="B30" s="1"/>
      <c r="C30" s="1"/>
      <c r="D30" s="1"/>
      <c r="E30" s="1"/>
      <c r="F30" s="1"/>
      <c r="G30" s="1"/>
      <c r="H30" s="1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1"/>
      <c r="B31" s="1"/>
      <c r="C31" s="1"/>
      <c r="D31" s="1"/>
      <c r="E31" s="1"/>
      <c r="F31" s="1"/>
      <c r="G31" s="1"/>
      <c r="H31" s="1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</sheetData>
  <conditionalFormatting sqref="J6:AH7">
    <cfRule type="containsBlanks" dxfId="4" priority="3">
      <formula>LEN(TRIM(J6))=0</formula>
    </cfRule>
  </conditionalFormatting>
  <conditionalFormatting sqref="J12:AH12">
    <cfRule type="cellIs" dxfId="3" priority="2" operator="lessThan">
      <formula>0</formula>
    </cfRule>
  </conditionalFormatting>
  <conditionalFormatting sqref="J18:AH1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03"/>
  <sheetViews>
    <sheetView showGridLines="0" workbookViewId="0">
      <pane ySplit="7" topLeftCell="A8" activePane="bottomLeft" state="frozen"/>
      <selection pane="bottomLeft" activeCell="B8" sqref="B8"/>
    </sheetView>
  </sheetViews>
  <sheetFormatPr defaultColWidth="9.109375" defaultRowHeight="12" x14ac:dyDescent="0.25"/>
  <cols>
    <col min="1" max="3" width="2.6640625" style="2" customWidth="1"/>
    <col min="4" max="4" width="9.109375" style="2"/>
    <col min="5" max="5" width="1.6640625" style="41" customWidth="1"/>
    <col min="6" max="6" width="53.109375" style="2" bestFit="1" customWidth="1"/>
    <col min="7" max="7" width="1.6640625" style="41" customWidth="1"/>
    <col min="8" max="16384" width="9.109375" style="2"/>
  </cols>
  <sheetData>
    <row r="1" spans="1:26" x14ac:dyDescent="0.25">
      <c r="A1" s="1"/>
      <c r="B1" s="1"/>
      <c r="C1" s="1"/>
      <c r="D1" s="1"/>
      <c r="E1" s="32"/>
      <c r="F1" s="1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7" t="s">
        <v>119</v>
      </c>
      <c r="D2" s="1"/>
      <c r="E2" s="32"/>
      <c r="F2" s="1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7" t="s">
        <v>120</v>
      </c>
      <c r="D3" s="1"/>
      <c r="E3" s="32"/>
      <c r="F3" s="1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7" t="s">
        <v>128</v>
      </c>
      <c r="D4" s="1"/>
      <c r="E4" s="32"/>
      <c r="F4" s="1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32"/>
      <c r="F5" s="1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32"/>
      <c r="F6" s="1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8" customFormat="1" x14ac:dyDescent="0.25">
      <c r="A7" s="7"/>
      <c r="B7" s="7"/>
      <c r="C7" s="7"/>
      <c r="D7" s="7"/>
      <c r="E7" s="40"/>
      <c r="F7" s="7" t="s">
        <v>6</v>
      </c>
      <c r="G7" s="40"/>
      <c r="H7" s="7" t="s">
        <v>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1"/>
      <c r="B8" s="1"/>
      <c r="C8" s="1"/>
      <c r="D8" s="1"/>
      <c r="E8" s="32"/>
      <c r="F8" s="1"/>
      <c r="G8" s="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>
        <f>ROW(C9)</f>
        <v>9</v>
      </c>
      <c r="E9" s="32" t="s">
        <v>10</v>
      </c>
      <c r="F9" s="13" t="s">
        <v>1</v>
      </c>
      <c r="G9" s="43" t="s">
        <v>10</v>
      </c>
      <c r="H9" s="13" t="s">
        <v>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>
        <f t="shared" ref="D10:D73" si="0">ROW(C10)</f>
        <v>10</v>
      </c>
      <c r="E10" s="32" t="s">
        <v>10</v>
      </c>
      <c r="F10" s="13" t="s">
        <v>13</v>
      </c>
      <c r="G10" s="43" t="s">
        <v>10</v>
      </c>
      <c r="H10" s="13" t="s">
        <v>12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>
        <f t="shared" si="0"/>
        <v>11</v>
      </c>
      <c r="E11" s="32" t="s">
        <v>10</v>
      </c>
      <c r="F11" s="13" t="s">
        <v>15</v>
      </c>
      <c r="G11" s="43" t="s">
        <v>10</v>
      </c>
      <c r="H11" s="13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>
        <f t="shared" si="0"/>
        <v>12</v>
      </c>
      <c r="E12" s="32" t="s">
        <v>10</v>
      </c>
      <c r="F12" s="13" t="s">
        <v>17</v>
      </c>
      <c r="G12" s="43" t="s">
        <v>10</v>
      </c>
      <c r="H12" s="13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>
        <f t="shared" si="0"/>
        <v>13</v>
      </c>
      <c r="E13" s="32" t="s">
        <v>10</v>
      </c>
      <c r="F13" s="13" t="s">
        <v>18</v>
      </c>
      <c r="G13" s="43" t="s">
        <v>10</v>
      </c>
      <c r="H13" s="13" t="s">
        <v>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>
        <f t="shared" si="0"/>
        <v>14</v>
      </c>
      <c r="E14" s="32" t="s">
        <v>10</v>
      </c>
      <c r="F14" s="13" t="s">
        <v>20</v>
      </c>
      <c r="G14" s="43" t="s">
        <v>10</v>
      </c>
      <c r="H14" s="13" t="s">
        <v>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>
        <f t="shared" si="0"/>
        <v>15</v>
      </c>
      <c r="E15" s="32" t="s">
        <v>10</v>
      </c>
      <c r="F15" s="13" t="s">
        <v>23</v>
      </c>
      <c r="G15" s="43" t="s">
        <v>10</v>
      </c>
      <c r="H15" s="13" t="s">
        <v>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>
        <f t="shared" si="0"/>
        <v>16</v>
      </c>
      <c r="E16" s="32" t="s">
        <v>10</v>
      </c>
      <c r="F16" s="13" t="s">
        <v>26</v>
      </c>
      <c r="G16" s="43" t="s">
        <v>10</v>
      </c>
      <c r="H16" s="13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>
        <f t="shared" si="0"/>
        <v>17</v>
      </c>
      <c r="E17" s="32" t="s">
        <v>10</v>
      </c>
      <c r="F17" s="13" t="s">
        <v>27</v>
      </c>
      <c r="G17" s="43" t="s">
        <v>10</v>
      </c>
      <c r="H17" s="13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>
        <f t="shared" si="0"/>
        <v>18</v>
      </c>
      <c r="E18" s="32" t="s">
        <v>10</v>
      </c>
      <c r="F18" s="13" t="s">
        <v>28</v>
      </c>
      <c r="G18" s="43" t="s">
        <v>10</v>
      </c>
      <c r="H18" s="13" t="s">
        <v>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>
        <f t="shared" si="0"/>
        <v>19</v>
      </c>
      <c r="E19" s="32" t="s">
        <v>10</v>
      </c>
      <c r="F19" s="13" t="s">
        <v>30</v>
      </c>
      <c r="G19" s="43" t="s">
        <v>10</v>
      </c>
      <c r="H19" s="13" t="s">
        <v>14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>
        <f t="shared" si="0"/>
        <v>20</v>
      </c>
      <c r="E20" s="32" t="s">
        <v>10</v>
      </c>
      <c r="F20" s="13" t="s">
        <v>32</v>
      </c>
      <c r="G20" s="43" t="s">
        <v>10</v>
      </c>
      <c r="H20" s="13" t="s">
        <v>21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>
        <f t="shared" si="0"/>
        <v>21</v>
      </c>
      <c r="E21" s="32" t="s">
        <v>10</v>
      </c>
      <c r="F21" s="13" t="s">
        <v>34</v>
      </c>
      <c r="G21" s="43" t="s">
        <v>10</v>
      </c>
      <c r="H21" s="13" t="s">
        <v>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>
        <f t="shared" si="0"/>
        <v>22</v>
      </c>
      <c r="E22" s="32" t="s">
        <v>10</v>
      </c>
      <c r="F22" s="13" t="s">
        <v>35</v>
      </c>
      <c r="G22" s="43" t="s">
        <v>10</v>
      </c>
      <c r="H22" s="13" t="s">
        <v>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>
        <f t="shared" si="0"/>
        <v>23</v>
      </c>
      <c r="E23" s="32" t="s">
        <v>10</v>
      </c>
      <c r="F23" s="13" t="s">
        <v>37</v>
      </c>
      <c r="G23" s="43" t="s">
        <v>10</v>
      </c>
      <c r="H23" s="13" t="s">
        <v>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>
        <f t="shared" si="0"/>
        <v>24</v>
      </c>
      <c r="E24" s="32" t="s">
        <v>10</v>
      </c>
      <c r="F24" s="13" t="s">
        <v>40</v>
      </c>
      <c r="G24" s="43" t="s">
        <v>10</v>
      </c>
      <c r="H24" s="13" t="s">
        <v>41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>
        <f t="shared" si="0"/>
        <v>25</v>
      </c>
      <c r="E25" s="32" t="s">
        <v>10</v>
      </c>
      <c r="F25" s="13" t="s">
        <v>42</v>
      </c>
      <c r="G25" s="43" t="s">
        <v>10</v>
      </c>
      <c r="H25" s="13" t="s">
        <v>14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>
        <f t="shared" si="0"/>
        <v>26</v>
      </c>
      <c r="E26" s="32" t="s">
        <v>10</v>
      </c>
      <c r="F26" s="13" t="s">
        <v>43</v>
      </c>
      <c r="G26" s="43" t="s">
        <v>10</v>
      </c>
      <c r="H26" s="13" t="s">
        <v>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>
        <f t="shared" si="0"/>
        <v>27</v>
      </c>
      <c r="E27" s="32" t="s">
        <v>10</v>
      </c>
      <c r="F27" s="13" t="s">
        <v>44</v>
      </c>
      <c r="G27" s="43" t="s">
        <v>10</v>
      </c>
      <c r="H27" s="13" t="s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>
        <f t="shared" si="0"/>
        <v>28</v>
      </c>
      <c r="E28" s="32" t="s">
        <v>10</v>
      </c>
      <c r="F28" s="13" t="s">
        <v>45</v>
      </c>
      <c r="G28" s="43" t="s">
        <v>10</v>
      </c>
      <c r="H28" s="13" t="s">
        <v>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>
        <f t="shared" si="0"/>
        <v>29</v>
      </c>
      <c r="E29" s="32" t="s">
        <v>10</v>
      </c>
      <c r="F29" s="13" t="s">
        <v>46</v>
      </c>
      <c r="G29" s="43" t="s">
        <v>10</v>
      </c>
      <c r="H29" s="13" t="s">
        <v>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>
        <f t="shared" si="0"/>
        <v>30</v>
      </c>
      <c r="E30" s="32" t="s">
        <v>10</v>
      </c>
      <c r="F30" s="13" t="s">
        <v>47</v>
      </c>
      <c r="G30" s="43" t="s">
        <v>10</v>
      </c>
      <c r="H30" s="13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>
        <f t="shared" si="0"/>
        <v>31</v>
      </c>
      <c r="E31" s="32" t="s">
        <v>10</v>
      </c>
      <c r="F31" s="13" t="s">
        <v>48</v>
      </c>
      <c r="G31" s="43" t="s">
        <v>10</v>
      </c>
      <c r="H31" s="13" t="s">
        <v>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>
        <f t="shared" si="0"/>
        <v>32</v>
      </c>
      <c r="E32" s="32" t="s">
        <v>10</v>
      </c>
      <c r="F32" s="13" t="s">
        <v>49</v>
      </c>
      <c r="G32" s="43" t="s">
        <v>10</v>
      </c>
      <c r="H32" s="13" t="s">
        <v>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>
        <f t="shared" si="0"/>
        <v>33</v>
      </c>
      <c r="E33" s="32" t="s">
        <v>10</v>
      </c>
      <c r="F33" s="13" t="s">
        <v>50</v>
      </c>
      <c r="G33" s="43" t="s">
        <v>10</v>
      </c>
      <c r="H33" s="13" t="s">
        <v>21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>
        <f t="shared" si="0"/>
        <v>34</v>
      </c>
      <c r="E34" s="32" t="s">
        <v>10</v>
      </c>
      <c r="F34" s="13" t="s">
        <v>52</v>
      </c>
      <c r="G34" s="43" t="s">
        <v>10</v>
      </c>
      <c r="H34" s="13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>
        <f t="shared" si="0"/>
        <v>35</v>
      </c>
      <c r="E35" s="32" t="s">
        <v>10</v>
      </c>
      <c r="F35" s="13" t="s">
        <v>53</v>
      </c>
      <c r="G35" s="43" t="s">
        <v>10</v>
      </c>
      <c r="H35" s="13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>
        <f t="shared" si="0"/>
        <v>36</v>
      </c>
      <c r="E36" s="32" t="s">
        <v>10</v>
      </c>
      <c r="F36" s="13" t="s">
        <v>54</v>
      </c>
      <c r="G36" s="43" t="s">
        <v>10</v>
      </c>
      <c r="H36" s="13" t="s">
        <v>21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>
        <f t="shared" si="0"/>
        <v>37</v>
      </c>
      <c r="E37" s="32" t="s">
        <v>10</v>
      </c>
      <c r="F37" s="13" t="s">
        <v>55</v>
      </c>
      <c r="G37" s="43" t="s">
        <v>10</v>
      </c>
      <c r="H37" s="13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>
        <f t="shared" si="0"/>
        <v>38</v>
      </c>
      <c r="E38" s="32" t="s">
        <v>10</v>
      </c>
      <c r="F38" s="13" t="s">
        <v>56</v>
      </c>
      <c r="G38" s="43" t="s">
        <v>10</v>
      </c>
      <c r="H38" s="13" t="s">
        <v>21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>
        <f t="shared" si="0"/>
        <v>39</v>
      </c>
      <c r="E39" s="32" t="s">
        <v>10</v>
      </c>
      <c r="F39" s="13" t="s">
        <v>57</v>
      </c>
      <c r="G39" s="43" t="s">
        <v>10</v>
      </c>
      <c r="H39" s="13" t="s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>
        <f t="shared" si="0"/>
        <v>40</v>
      </c>
      <c r="E40" s="32" t="s">
        <v>10</v>
      </c>
      <c r="F40" s="13" t="s">
        <v>58</v>
      </c>
      <c r="G40" s="43" t="s">
        <v>10</v>
      </c>
      <c r="H40" s="13" t="s">
        <v>16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>
        <f t="shared" si="0"/>
        <v>41</v>
      </c>
      <c r="E41" s="32" t="s">
        <v>10</v>
      </c>
      <c r="F41" s="13" t="s">
        <v>59</v>
      </c>
      <c r="G41" s="43" t="s">
        <v>10</v>
      </c>
      <c r="H41" s="13" t="s">
        <v>21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>
        <f t="shared" si="0"/>
        <v>42</v>
      </c>
      <c r="E42" s="32" t="s">
        <v>10</v>
      </c>
      <c r="F42" s="13" t="s">
        <v>60</v>
      </c>
      <c r="G42" s="43" t="s">
        <v>10</v>
      </c>
      <c r="H42" s="13" t="s">
        <v>21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>
        <f t="shared" si="0"/>
        <v>43</v>
      </c>
      <c r="E43" s="32" t="s">
        <v>10</v>
      </c>
      <c r="F43" s="13" t="s">
        <v>61</v>
      </c>
      <c r="G43" s="43" t="s">
        <v>10</v>
      </c>
      <c r="H43" s="13" t="s">
        <v>16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>
        <f t="shared" si="0"/>
        <v>44</v>
      </c>
      <c r="E44" s="32" t="s">
        <v>10</v>
      </c>
      <c r="F44" s="13" t="s">
        <v>62</v>
      </c>
      <c r="G44" s="43" t="s">
        <v>10</v>
      </c>
      <c r="H44" s="13" t="s">
        <v>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>
        <f t="shared" si="0"/>
        <v>45</v>
      </c>
      <c r="E45" s="32" t="s">
        <v>10</v>
      </c>
      <c r="F45" s="13" t="s">
        <v>63</v>
      </c>
      <c r="G45" s="43" t="s">
        <v>10</v>
      </c>
      <c r="H45" s="13" t="s">
        <v>21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>
        <f t="shared" si="0"/>
        <v>46</v>
      </c>
      <c r="E46" s="32" t="s">
        <v>10</v>
      </c>
      <c r="F46" s="13" t="s">
        <v>64</v>
      </c>
      <c r="G46" s="43" t="s">
        <v>10</v>
      </c>
      <c r="H46" s="13" t="s">
        <v>21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>
        <f t="shared" si="0"/>
        <v>47</v>
      </c>
      <c r="E47" s="32" t="s">
        <v>10</v>
      </c>
      <c r="F47" s="13" t="s">
        <v>65</v>
      </c>
      <c r="G47" s="43" t="s">
        <v>10</v>
      </c>
      <c r="H47" s="13" t="s">
        <v>21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>
        <f t="shared" si="0"/>
        <v>48</v>
      </c>
      <c r="E48" s="32" t="s">
        <v>10</v>
      </c>
      <c r="F48" s="13" t="s">
        <v>66</v>
      </c>
      <c r="G48" s="43" t="s">
        <v>10</v>
      </c>
      <c r="H48" s="13" t="s">
        <v>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>
        <f t="shared" si="0"/>
        <v>49</v>
      </c>
      <c r="E49" s="32" t="s">
        <v>10</v>
      </c>
      <c r="F49" s="13" t="s">
        <v>67</v>
      </c>
      <c r="G49" s="43" t="s">
        <v>10</v>
      </c>
      <c r="H49" s="13" t="s">
        <v>16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>
        <f t="shared" si="0"/>
        <v>50</v>
      </c>
      <c r="E50" s="32" t="s">
        <v>10</v>
      </c>
      <c r="F50" s="13" t="s">
        <v>68</v>
      </c>
      <c r="G50" s="43" t="s">
        <v>10</v>
      </c>
      <c r="H50" s="13" t="s">
        <v>21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>
        <f t="shared" si="0"/>
        <v>51</v>
      </c>
      <c r="E51" s="32" t="s">
        <v>10</v>
      </c>
      <c r="F51" s="13" t="s">
        <v>69</v>
      </c>
      <c r="G51" s="43" t="s">
        <v>10</v>
      </c>
      <c r="H51" s="13" t="s">
        <v>21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>
        <f t="shared" si="0"/>
        <v>52</v>
      </c>
      <c r="E52" s="32" t="s">
        <v>10</v>
      </c>
      <c r="F52" s="13" t="s">
        <v>70</v>
      </c>
      <c r="G52" s="43" t="s">
        <v>10</v>
      </c>
      <c r="H52" s="13" t="s">
        <v>21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>
        <f t="shared" si="0"/>
        <v>53</v>
      </c>
      <c r="E53" s="32" t="s">
        <v>10</v>
      </c>
      <c r="F53" s="13" t="s">
        <v>71</v>
      </c>
      <c r="G53" s="43" t="s">
        <v>10</v>
      </c>
      <c r="H53" s="13" t="s">
        <v>16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>
        <f t="shared" si="0"/>
        <v>54</v>
      </c>
      <c r="E54" s="32" t="s">
        <v>10</v>
      </c>
      <c r="F54" s="13" t="s">
        <v>72</v>
      </c>
      <c r="G54" s="43" t="s">
        <v>10</v>
      </c>
      <c r="H54" s="13" t="s">
        <v>16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>
        <f t="shared" si="0"/>
        <v>55</v>
      </c>
      <c r="E55" s="32" t="s">
        <v>10</v>
      </c>
      <c r="F55" s="13" t="s">
        <v>73</v>
      </c>
      <c r="G55" s="43" t="s">
        <v>10</v>
      </c>
      <c r="H55" s="13" t="s">
        <v>21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>
        <f t="shared" si="0"/>
        <v>56</v>
      </c>
      <c r="E56" s="32" t="s">
        <v>10</v>
      </c>
      <c r="F56" s="13" t="s">
        <v>74</v>
      </c>
      <c r="G56" s="43" t="s">
        <v>10</v>
      </c>
      <c r="H56" s="13" t="s">
        <v>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>
        <f t="shared" si="0"/>
        <v>57</v>
      </c>
      <c r="E57" s="32" t="s">
        <v>10</v>
      </c>
      <c r="F57" s="13" t="s">
        <v>75</v>
      </c>
      <c r="G57" s="43" t="s">
        <v>10</v>
      </c>
      <c r="H57" s="13" t="s">
        <v>21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>
        <f t="shared" si="0"/>
        <v>58</v>
      </c>
      <c r="E58" s="32" t="s">
        <v>10</v>
      </c>
      <c r="F58" s="13" t="s">
        <v>76</v>
      </c>
      <c r="G58" s="43" t="s">
        <v>10</v>
      </c>
      <c r="H58" s="13" t="s">
        <v>21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>
        <f t="shared" si="0"/>
        <v>59</v>
      </c>
      <c r="E59" s="32" t="s">
        <v>10</v>
      </c>
      <c r="F59" s="13" t="s">
        <v>77</v>
      </c>
      <c r="G59" s="43" t="s">
        <v>10</v>
      </c>
      <c r="H59" s="13" t="s">
        <v>16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>
        <f t="shared" si="0"/>
        <v>60</v>
      </c>
      <c r="E60" s="32" t="s">
        <v>10</v>
      </c>
      <c r="F60" s="13" t="s">
        <v>78</v>
      </c>
      <c r="G60" s="43" t="s">
        <v>10</v>
      </c>
      <c r="H60" s="13" t="s">
        <v>16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>
        <f t="shared" si="0"/>
        <v>61</v>
      </c>
      <c r="E61" s="32" t="s">
        <v>10</v>
      </c>
      <c r="F61" s="13" t="s">
        <v>79</v>
      </c>
      <c r="G61" s="43" t="s">
        <v>10</v>
      </c>
      <c r="H61" s="13" t="s">
        <v>21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>
        <f t="shared" si="0"/>
        <v>62</v>
      </c>
      <c r="E62" s="32" t="s">
        <v>10</v>
      </c>
      <c r="F62" s="13" t="s">
        <v>80</v>
      </c>
      <c r="G62" s="43" t="s">
        <v>10</v>
      </c>
      <c r="H62" s="13" t="s">
        <v>16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>
        <f t="shared" si="0"/>
        <v>63</v>
      </c>
      <c r="E63" s="32" t="s">
        <v>10</v>
      </c>
      <c r="F63" s="13" t="s">
        <v>81</v>
      </c>
      <c r="G63" s="43" t="s">
        <v>10</v>
      </c>
      <c r="H63" s="13" t="s">
        <v>21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>
        <f t="shared" si="0"/>
        <v>64</v>
      </c>
      <c r="E64" s="32" t="s">
        <v>10</v>
      </c>
      <c r="F64" s="13" t="s">
        <v>82</v>
      </c>
      <c r="G64" s="43" t="s">
        <v>10</v>
      </c>
      <c r="H64" s="13" t="s">
        <v>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>
        <f t="shared" si="0"/>
        <v>65</v>
      </c>
      <c r="E65" s="32" t="s">
        <v>10</v>
      </c>
      <c r="F65" s="13" t="s">
        <v>83</v>
      </c>
      <c r="G65" s="43" t="s">
        <v>10</v>
      </c>
      <c r="H65" s="13" t="s">
        <v>21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>
        <f t="shared" si="0"/>
        <v>66</v>
      </c>
      <c r="E66" s="32" t="s">
        <v>10</v>
      </c>
      <c r="F66" s="13" t="s">
        <v>84</v>
      </c>
      <c r="G66" s="43" t="s">
        <v>10</v>
      </c>
      <c r="H66" s="13" t="s">
        <v>21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>
        <f t="shared" si="0"/>
        <v>67</v>
      </c>
      <c r="E67" s="32" t="s">
        <v>10</v>
      </c>
      <c r="F67" s="13" t="s">
        <v>85</v>
      </c>
      <c r="G67" s="43" t="s">
        <v>10</v>
      </c>
      <c r="H67" s="13" t="s">
        <v>16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>
        <f t="shared" si="0"/>
        <v>68</v>
      </c>
      <c r="E68" s="32" t="s">
        <v>10</v>
      </c>
      <c r="F68" s="13" t="s">
        <v>86</v>
      </c>
      <c r="G68" s="43" t="s">
        <v>10</v>
      </c>
      <c r="H68" s="13" t="s">
        <v>16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>
        <f t="shared" si="0"/>
        <v>69</v>
      </c>
      <c r="E69" s="32" t="s">
        <v>10</v>
      </c>
      <c r="F69" s="13" t="s">
        <v>87</v>
      </c>
      <c r="G69" s="43" t="s">
        <v>10</v>
      </c>
      <c r="H69" s="13" t="s">
        <v>21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>
        <f t="shared" si="0"/>
        <v>70</v>
      </c>
      <c r="E70" s="32" t="s">
        <v>10</v>
      </c>
      <c r="F70" s="13" t="s">
        <v>88</v>
      </c>
      <c r="G70" s="43" t="s">
        <v>10</v>
      </c>
      <c r="H70" s="13" t="s">
        <v>16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>
        <f t="shared" si="0"/>
        <v>71</v>
      </c>
      <c r="E71" s="32" t="s">
        <v>10</v>
      </c>
      <c r="F71" s="13" t="s">
        <v>89</v>
      </c>
      <c r="G71" s="43" t="s">
        <v>10</v>
      </c>
      <c r="H71" s="13" t="s">
        <v>21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>
        <f t="shared" si="0"/>
        <v>72</v>
      </c>
      <c r="E72" s="32" t="s">
        <v>10</v>
      </c>
      <c r="F72" s="13" t="s">
        <v>91</v>
      </c>
      <c r="G72" s="43" t="s">
        <v>10</v>
      </c>
      <c r="H72" s="13" t="s">
        <v>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>
        <f t="shared" si="0"/>
        <v>73</v>
      </c>
      <c r="E73" s="32" t="s">
        <v>10</v>
      </c>
      <c r="F73" s="13" t="s">
        <v>99</v>
      </c>
      <c r="G73" s="43" t="s">
        <v>10</v>
      </c>
      <c r="H73" s="13" t="s">
        <v>21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>
        <f t="shared" ref="D74:D101" si="1">ROW(C74)</f>
        <v>74</v>
      </c>
      <c r="E74" s="32" t="s">
        <v>10</v>
      </c>
      <c r="F74" s="13" t="s">
        <v>92</v>
      </c>
      <c r="G74" s="43" t="s">
        <v>10</v>
      </c>
      <c r="H74" s="13" t="s">
        <v>21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>
        <f t="shared" si="1"/>
        <v>75</v>
      </c>
      <c r="E75" s="32" t="s">
        <v>10</v>
      </c>
      <c r="F75" s="13" t="s">
        <v>93</v>
      </c>
      <c r="G75" s="43" t="s">
        <v>10</v>
      </c>
      <c r="H75" s="13" t="s">
        <v>16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>
        <f t="shared" si="1"/>
        <v>76</v>
      </c>
      <c r="E76" s="32" t="s">
        <v>10</v>
      </c>
      <c r="F76" s="13" t="s">
        <v>94</v>
      </c>
      <c r="G76" s="43" t="s">
        <v>10</v>
      </c>
      <c r="H76" s="13" t="s">
        <v>16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>
        <f t="shared" si="1"/>
        <v>77</v>
      </c>
      <c r="E77" s="32" t="s">
        <v>10</v>
      </c>
      <c r="F77" s="13" t="s">
        <v>95</v>
      </c>
      <c r="G77" s="43" t="s">
        <v>10</v>
      </c>
      <c r="H77" s="13" t="s">
        <v>21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>
        <f t="shared" si="1"/>
        <v>78</v>
      </c>
      <c r="E78" s="32" t="s">
        <v>10</v>
      </c>
      <c r="F78" s="13" t="s">
        <v>96</v>
      </c>
      <c r="G78" s="43" t="s">
        <v>10</v>
      </c>
      <c r="H78" s="13" t="s">
        <v>16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>
        <f t="shared" si="1"/>
        <v>79</v>
      </c>
      <c r="E79" s="32" t="s">
        <v>10</v>
      </c>
      <c r="F79" s="13" t="s">
        <v>97</v>
      </c>
      <c r="G79" s="43" t="s">
        <v>10</v>
      </c>
      <c r="H79" s="13" t="s">
        <v>21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>
        <f t="shared" si="1"/>
        <v>80</v>
      </c>
      <c r="E80" s="32" t="s">
        <v>10</v>
      </c>
      <c r="F80" s="13" t="s">
        <v>98</v>
      </c>
      <c r="G80" s="43" t="s">
        <v>10</v>
      </c>
      <c r="H80" s="13" t="s">
        <v>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>
        <f t="shared" si="1"/>
        <v>81</v>
      </c>
      <c r="E81" s="32" t="s">
        <v>10</v>
      </c>
      <c r="F81" s="13" t="s">
        <v>100</v>
      </c>
      <c r="G81" s="43" t="s">
        <v>10</v>
      </c>
      <c r="H81" s="13" t="s">
        <v>21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>
        <f t="shared" si="1"/>
        <v>82</v>
      </c>
      <c r="E82" s="32" t="s">
        <v>10</v>
      </c>
      <c r="F82" s="13" t="s">
        <v>101</v>
      </c>
      <c r="G82" s="43" t="s">
        <v>10</v>
      </c>
      <c r="H82" s="13" t="s">
        <v>21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>
        <f t="shared" si="1"/>
        <v>83</v>
      </c>
      <c r="E83" s="32" t="s">
        <v>10</v>
      </c>
      <c r="F83" s="13" t="s">
        <v>102</v>
      </c>
      <c r="G83" s="43" t="s">
        <v>10</v>
      </c>
      <c r="H83" s="13" t="s">
        <v>16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>
        <f t="shared" si="1"/>
        <v>84</v>
      </c>
      <c r="E84" s="32" t="s">
        <v>10</v>
      </c>
      <c r="F84" s="13" t="s">
        <v>103</v>
      </c>
      <c r="G84" s="43" t="s">
        <v>10</v>
      </c>
      <c r="H84" s="13" t="s">
        <v>16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>
        <f t="shared" si="1"/>
        <v>85</v>
      </c>
      <c r="E85" s="32" t="s">
        <v>10</v>
      </c>
      <c r="F85" s="13" t="s">
        <v>104</v>
      </c>
      <c r="G85" s="43" t="s">
        <v>10</v>
      </c>
      <c r="H85" s="13" t="s">
        <v>21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>
        <f t="shared" si="1"/>
        <v>86</v>
      </c>
      <c r="E86" s="32" t="s">
        <v>10</v>
      </c>
      <c r="F86" s="13" t="s">
        <v>105</v>
      </c>
      <c r="G86" s="43" t="s">
        <v>10</v>
      </c>
      <c r="H86" s="13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>
        <f t="shared" si="1"/>
        <v>87</v>
      </c>
      <c r="E87" s="32" t="s">
        <v>10</v>
      </c>
      <c r="F87" s="13" t="s">
        <v>106</v>
      </c>
      <c r="G87" s="43" t="s">
        <v>10</v>
      </c>
      <c r="H87" s="13" t="s">
        <v>21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>
        <f t="shared" si="1"/>
        <v>88</v>
      </c>
      <c r="E88" s="32" t="s">
        <v>10</v>
      </c>
      <c r="F88" s="13" t="s">
        <v>110</v>
      </c>
      <c r="G88" s="43" t="s">
        <v>10</v>
      </c>
      <c r="H88" s="13" t="s">
        <v>21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>
        <f t="shared" si="1"/>
        <v>89</v>
      </c>
      <c r="E89" s="32" t="s">
        <v>10</v>
      </c>
      <c r="F89" s="13" t="s">
        <v>107</v>
      </c>
      <c r="G89" s="43" t="s">
        <v>10</v>
      </c>
      <c r="H89" s="13" t="s">
        <v>16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>
        <f t="shared" si="1"/>
        <v>90</v>
      </c>
      <c r="E90" s="32" t="s">
        <v>10</v>
      </c>
      <c r="F90" s="13" t="s">
        <v>108</v>
      </c>
      <c r="G90" s="43" t="s">
        <v>10</v>
      </c>
      <c r="H90" s="13" t="s">
        <v>16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>
        <f t="shared" si="1"/>
        <v>91</v>
      </c>
      <c r="E91" s="32" t="s">
        <v>10</v>
      </c>
      <c r="F91" s="13" t="s">
        <v>109</v>
      </c>
      <c r="G91" s="43" t="s">
        <v>10</v>
      </c>
      <c r="H91" s="13" t="s">
        <v>21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>
        <f t="shared" si="1"/>
        <v>92</v>
      </c>
      <c r="E92" s="32" t="s">
        <v>10</v>
      </c>
      <c r="F92" s="13" t="s">
        <v>111</v>
      </c>
      <c r="G92" s="43" t="s">
        <v>10</v>
      </c>
      <c r="H92" s="13" t="s">
        <v>21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>
        <f t="shared" si="1"/>
        <v>93</v>
      </c>
      <c r="E93" s="32" t="s">
        <v>10</v>
      </c>
      <c r="F93" s="13" t="s">
        <v>112</v>
      </c>
      <c r="G93" s="43" t="s">
        <v>10</v>
      </c>
      <c r="H93" s="13" t="s">
        <v>16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>
        <f t="shared" si="1"/>
        <v>94</v>
      </c>
      <c r="E94" s="32" t="s">
        <v>10</v>
      </c>
      <c r="F94" s="13" t="s">
        <v>113</v>
      </c>
      <c r="G94" s="43" t="s">
        <v>10</v>
      </c>
      <c r="H94" s="13" t="s">
        <v>16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>
        <f t="shared" si="1"/>
        <v>95</v>
      </c>
      <c r="E95" s="32" t="s">
        <v>10</v>
      </c>
      <c r="F95" s="13" t="s">
        <v>114</v>
      </c>
      <c r="G95" s="43" t="s">
        <v>10</v>
      </c>
      <c r="H95" s="13" t="s">
        <v>21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>
        <f t="shared" si="1"/>
        <v>96</v>
      </c>
      <c r="E96" s="32" t="s">
        <v>10</v>
      </c>
      <c r="F96" s="13" t="s">
        <v>115</v>
      </c>
      <c r="G96" s="43" t="s">
        <v>10</v>
      </c>
      <c r="H96" s="13" t="s">
        <v>21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>
        <f t="shared" si="1"/>
        <v>97</v>
      </c>
      <c r="E97" s="32" t="s">
        <v>10</v>
      </c>
      <c r="F97" s="13" t="s">
        <v>116</v>
      </c>
      <c r="G97" s="43" t="s">
        <v>10</v>
      </c>
      <c r="H97" s="13" t="s">
        <v>16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>
        <f t="shared" si="1"/>
        <v>98</v>
      </c>
      <c r="E98" s="32" t="s">
        <v>10</v>
      </c>
      <c r="F98" s="13" t="s">
        <v>117</v>
      </c>
      <c r="G98" s="43" t="s">
        <v>10</v>
      </c>
      <c r="H98" s="13" t="s">
        <v>16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>
        <f t="shared" si="1"/>
        <v>99</v>
      </c>
      <c r="E99" s="32" t="s">
        <v>10</v>
      </c>
      <c r="F99" s="13" t="s">
        <v>118</v>
      </c>
      <c r="G99" s="43" t="s">
        <v>10</v>
      </c>
      <c r="H99" s="13" t="s">
        <v>21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>
        <f t="shared" si="1"/>
        <v>100</v>
      </c>
      <c r="E100" s="32" t="s">
        <v>10</v>
      </c>
      <c r="F100" s="13" t="s">
        <v>132</v>
      </c>
      <c r="G100" s="43" t="s">
        <v>10</v>
      </c>
      <c r="H100" s="13" t="s">
        <v>16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>
        <f t="shared" si="1"/>
        <v>101</v>
      </c>
      <c r="E101" s="32" t="s">
        <v>10</v>
      </c>
      <c r="F101" s="13" t="s">
        <v>133</v>
      </c>
      <c r="G101" s="43" t="s">
        <v>10</v>
      </c>
      <c r="H101" s="13" t="s">
        <v>21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32"/>
      <c r="F102" s="1"/>
      <c r="G102" s="4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32"/>
      <c r="F103" s="1"/>
      <c r="G103" s="3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4"/>
  <sheetViews>
    <sheetView showGridLines="0" workbookViewId="0">
      <pane ySplit="7" topLeftCell="A8" activePane="bottomLeft" state="frozen"/>
      <selection pane="bottomLeft" activeCell="A8" sqref="A8"/>
    </sheetView>
  </sheetViews>
  <sheetFormatPr defaultColWidth="9.109375" defaultRowHeight="12" x14ac:dyDescent="0.25"/>
  <cols>
    <col min="1" max="3" width="2.6640625" style="2" customWidth="1"/>
    <col min="4" max="4" width="25.33203125" style="2" bestFit="1" customWidth="1"/>
    <col min="5" max="5" width="1.6640625" style="2" customWidth="1"/>
    <col min="6" max="6" width="19.44140625" style="2" bestFit="1" customWidth="1"/>
    <col min="7" max="7" width="1.6640625" style="2" customWidth="1"/>
    <col min="8" max="8" width="12.6640625" style="2" bestFit="1" customWidth="1"/>
    <col min="9" max="16384" width="9.1093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7" t="s">
        <v>119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7" t="s">
        <v>120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7" t="s">
        <v>141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8" customFormat="1" x14ac:dyDescent="0.25">
      <c r="A7" s="7"/>
      <c r="B7" s="7"/>
      <c r="C7" s="7"/>
      <c r="D7" s="7" t="s">
        <v>11</v>
      </c>
      <c r="E7" s="7"/>
      <c r="F7" s="7" t="s">
        <v>5</v>
      </c>
      <c r="G7" s="7"/>
      <c r="H7" s="7" t="s">
        <v>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 t="s">
        <v>19</v>
      </c>
      <c r="E9" s="1"/>
      <c r="F9" s="1" t="s">
        <v>2</v>
      </c>
      <c r="G9" s="1"/>
      <c r="H9" s="1" t="s"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 t="s">
        <v>22</v>
      </c>
      <c r="E10" s="1"/>
      <c r="F10" s="1" t="s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 t="s">
        <v>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 t="s">
        <v>29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 t="s">
        <v>36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 t="s">
        <v>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 t="s">
        <v>51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 t="s">
        <v>90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 t="s">
        <v>127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 t="s">
        <v>129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 t="s">
        <v>130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 t="s">
        <v>131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 t="s">
        <v>135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 t="s">
        <v>136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 t="s">
        <v>137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 t="s">
        <v>138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 t="s">
        <v>139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 t="s">
        <v>142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 t="s">
        <v>143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 t="s">
        <v>144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 t="s">
        <v>145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 t="s">
        <v>146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 t="s">
        <v>149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 t="s">
        <v>148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 t="s">
        <v>147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 t="s">
        <v>150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условия_и_расчеты</vt:lpstr>
      <vt:lpstr>PL</vt:lpstr>
      <vt:lpstr>CF</vt:lpstr>
      <vt:lpstr>BS</vt:lpstr>
      <vt:lpstr>KPI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2021-05-30T08:14:17Z</dcterms:modified>
</cp:coreProperties>
</file>